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conov\OneDrive\Documents\Duke Network Files-DESKTOP-JNSOPB9-DESKTOP-JNSOPB9-DESKTOP-JNSOPB9\Service\FORBES\COVID19\MasksDrunkDriving\"/>
    </mc:Choice>
  </mc:AlternateContent>
  <xr:revisionPtr revIDLastSave="0" documentId="13_ncr:1_{5E955829-3430-4AB3-A4EF-E004E19E5ED1}" xr6:coauthVersionLast="45" xr6:coauthVersionMax="45" xr10:uidLastSave="{00000000-0000-0000-0000-000000000000}"/>
  <bookViews>
    <workbookView xWindow="-108" yWindow="-108" windowWidth="22320" windowHeight="13176" xr2:uid="{EF4F255D-04DB-458E-BCA0-83BBF2C3A03E}"/>
  </bookViews>
  <sheets>
    <sheet name="COVID Risk Update" sheetId="15" r:id="rId1"/>
    <sheet name="S1 Cases Deaths by Age Group" sheetId="10" r:id="rId2"/>
    <sheet name="S2 CDC Total Case Trends" sheetId="17" r:id="rId3"/>
    <sheet name="S3 Cases Deaths Total" sheetId="11" r:id="rId4"/>
    <sheet name="S4 CDC Pandemic Planning" sheetId="12" r:id="rId5"/>
    <sheet name="S5 CDC COVID Death Resources" sheetId="13" r:id="rId6"/>
    <sheet name="S6 Chu" sheetId="14" r:id="rId7"/>
    <sheet name="S7 Conover Drunk Driving" sheetId="18" r:id="rId8"/>
    <sheet name="S8 Conover LLE and QALYs" sheetId="5" r:id="rId9"/>
    <sheet name="S9 Khalili " sheetId="6" r:id="rId10"/>
    <sheet name="S10 2020 Pop by Race-Sex-Age" sheetId="7" r:id="rId11"/>
    <sheet name="S11 Sanders CEA Recommend" sheetId="8" r:id="rId12"/>
    <sheet name="S12 Viscusi" sheetId="9" r:id="rId13"/>
    <sheet name="Mask Use 1.0 Old" sheetId="2" r:id="rId14"/>
    <sheet name="Mask Use 2.0 Old" sheetId="4" r:id="rId15"/>
  </sheets>
  <externalReferences>
    <externalReference r:id="rId16"/>
    <externalReference r:id="rId17"/>
    <externalReference r:id="rId18"/>
    <externalReference r:id="rId19"/>
    <externalReference r:id="rId20"/>
  </externalReferences>
  <definedNames>
    <definedName name="_xlnm.Print_Area" localSheetId="7">'S7 Conover Drunk Driving'!$A$1:$O$144</definedName>
    <definedName name="valHighlight" localSheetId="0">IFERROR(IF(#REF!="Yes", TRUE, FALSE),FALSE)</definedName>
    <definedName name="valHighlight" localSheetId="14">IFERROR(IF(#REF!="Yes", TRUE, FALSE),FALSE)</definedName>
    <definedName name="valHighlight" localSheetId="1">IFERROR(IF(#REF!="Yes", TRUE, FALSE),FALSE)</definedName>
    <definedName name="valHighlight" localSheetId="10">IFERROR(IF('[4]Old COVID VSL'!#REF!="Yes", TRUE, FALSE),FALSE)</definedName>
    <definedName name="valHighlight" localSheetId="11">IFERROR(IF('[3]COVID VSL 1.0 Old'!#REF!="Yes", TRUE, FALSE),FALSE)</definedName>
    <definedName name="valHighlight" localSheetId="3">IFERROR(IF(#REF!="Yes", TRUE, FALSE),FALSE)</definedName>
    <definedName name="valHighlight" localSheetId="4">IFERROR(IF(#REF!="Yes", TRUE, FALSE),FALSE)</definedName>
    <definedName name="valHighlight" localSheetId="7">IFERROR(IF(#REF!="Yes", TRUE, FALSE),FALSE)</definedName>
    <definedName name="valHighlight" localSheetId="8">IFERROR(IF('[3]COVID VSL 1.0 Old'!#REF!="Yes", TRUE, FALSE),FALSE)</definedName>
    <definedName name="valHighlight">IFERROR(IF('[1]Old COVID VSL'!#REF!="Yes",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 i="15" l="1"/>
  <c r="N14" i="15"/>
  <c r="N13" i="15"/>
  <c r="N11" i="15"/>
  <c r="N10" i="15"/>
  <c r="N9" i="15"/>
  <c r="N7" i="15"/>
  <c r="N6" i="15"/>
  <c r="N5" i="15"/>
  <c r="M15" i="15"/>
  <c r="M14" i="15"/>
  <c r="M13" i="15"/>
  <c r="M11" i="15"/>
  <c r="M10" i="15"/>
  <c r="M9" i="15"/>
  <c r="M7" i="15"/>
  <c r="M6" i="15"/>
  <c r="M5" i="15"/>
  <c r="B127" i="18"/>
  <c r="B126" i="18"/>
  <c r="B125" i="18"/>
  <c r="B124" i="18"/>
  <c r="C122" i="18"/>
  <c r="I122" i="18" s="1"/>
  <c r="C117" i="18"/>
  <c r="I117" i="18" s="1"/>
  <c r="B111" i="18"/>
  <c r="B110" i="18"/>
  <c r="B109" i="18"/>
  <c r="B108" i="18"/>
  <c r="B107" i="18"/>
  <c r="B106" i="18"/>
  <c r="B105" i="18"/>
  <c r="H103" i="18"/>
  <c r="H104" i="18" s="1"/>
  <c r="J7" i="18" s="1"/>
  <c r="F103" i="18"/>
  <c r="F104" i="18" s="1"/>
  <c r="J5" i="18" s="1"/>
  <c r="E103" i="18"/>
  <c r="E104" i="18" s="1"/>
  <c r="G102" i="18"/>
  <c r="G103" i="18" s="1"/>
  <c r="G104" i="18" s="1"/>
  <c r="J6" i="18" s="1"/>
  <c r="F102" i="18"/>
  <c r="G100" i="18"/>
  <c r="D97" i="18"/>
  <c r="L96" i="18"/>
  <c r="K96" i="18"/>
  <c r="J96" i="18"/>
  <c r="I96" i="18"/>
  <c r="L95" i="18"/>
  <c r="K95" i="18"/>
  <c r="J95" i="18"/>
  <c r="I95" i="18"/>
  <c r="L94" i="18"/>
  <c r="K94" i="18"/>
  <c r="J94" i="18"/>
  <c r="I94" i="18"/>
  <c r="L93" i="18"/>
  <c r="K93" i="18"/>
  <c r="J93" i="18"/>
  <c r="I93" i="18"/>
  <c r="L92" i="18"/>
  <c r="K92" i="18"/>
  <c r="J92" i="18"/>
  <c r="I92" i="18"/>
  <c r="L91" i="18"/>
  <c r="K91" i="18"/>
  <c r="J91" i="18"/>
  <c r="I91" i="18"/>
  <c r="L90" i="18"/>
  <c r="K90" i="18"/>
  <c r="J90" i="18"/>
  <c r="I90" i="18"/>
  <c r="L89" i="18"/>
  <c r="K89" i="18"/>
  <c r="J89" i="18"/>
  <c r="I89" i="18"/>
  <c r="L88" i="18"/>
  <c r="K88" i="18"/>
  <c r="J88" i="18"/>
  <c r="I88" i="18"/>
  <c r="L87" i="18"/>
  <c r="K87" i="18"/>
  <c r="J87" i="18"/>
  <c r="I87" i="18"/>
  <c r="L86" i="18"/>
  <c r="K86" i="18"/>
  <c r="J86" i="18"/>
  <c r="I86" i="18"/>
  <c r="L85" i="18"/>
  <c r="H100" i="18" s="1"/>
  <c r="K85" i="18"/>
  <c r="J85" i="18"/>
  <c r="F100" i="18" s="1"/>
  <c r="I85" i="18"/>
  <c r="E100" i="18" s="1"/>
  <c r="B81" i="18"/>
  <c r="B80" i="18"/>
  <c r="L78" i="18"/>
  <c r="K78" i="18"/>
  <c r="J78" i="18"/>
  <c r="L77" i="18"/>
  <c r="K77" i="18"/>
  <c r="J77" i="18"/>
  <c r="L76" i="18"/>
  <c r="K76" i="18"/>
  <c r="J76" i="18"/>
  <c r="L75" i="18"/>
  <c r="K75" i="18"/>
  <c r="J75" i="18"/>
  <c r="L74" i="18"/>
  <c r="K74" i="18"/>
  <c r="J74" i="18"/>
  <c r="L73" i="18"/>
  <c r="K73" i="18"/>
  <c r="J73" i="18"/>
  <c r="L72" i="18"/>
  <c r="K72" i="18"/>
  <c r="J72" i="18"/>
  <c r="L71" i="18"/>
  <c r="K71" i="18"/>
  <c r="C118" i="18" s="1"/>
  <c r="I71" i="18"/>
  <c r="H71" i="18"/>
  <c r="G71" i="18"/>
  <c r="J71" i="18" s="1"/>
  <c r="F71" i="18"/>
  <c r="E71" i="18"/>
  <c r="D71" i="18"/>
  <c r="L70" i="18"/>
  <c r="K70" i="18"/>
  <c r="J70" i="18"/>
  <c r="L69" i="18"/>
  <c r="K69" i="18"/>
  <c r="J69" i="18"/>
  <c r="K68" i="18"/>
  <c r="J68" i="18"/>
  <c r="I68" i="18"/>
  <c r="L68" i="18" s="1"/>
  <c r="C121" i="18" s="1"/>
  <c r="H68" i="18"/>
  <c r="G68" i="18"/>
  <c r="F68" i="18"/>
  <c r="E68" i="18"/>
  <c r="D68" i="18"/>
  <c r="L67" i="18"/>
  <c r="C120" i="18" s="1"/>
  <c r="K67" i="18"/>
  <c r="D120" i="18" s="1"/>
  <c r="J67" i="18"/>
  <c r="L66" i="18"/>
  <c r="K66" i="18"/>
  <c r="J66" i="18"/>
  <c r="B62" i="18"/>
  <c r="B61" i="18"/>
  <c r="F60" i="18"/>
  <c r="E60" i="18"/>
  <c r="E54" i="18"/>
  <c r="F54" i="18" s="1"/>
  <c r="C54" i="18"/>
  <c r="B49" i="18"/>
  <c r="B48" i="18"/>
  <c r="B47" i="18"/>
  <c r="L43" i="18"/>
  <c r="K43" i="18"/>
  <c r="D58" i="18" s="1"/>
  <c r="L42" i="18"/>
  <c r="F58" i="18" s="1"/>
  <c r="K42" i="18"/>
  <c r="H42" i="18"/>
  <c r="L41" i="18"/>
  <c r="F57" i="18" s="1"/>
  <c r="K41" i="18"/>
  <c r="D57" i="18" s="1"/>
  <c r="H41" i="18"/>
  <c r="L40" i="18"/>
  <c r="K40" i="18"/>
  <c r="H40" i="18" s="1"/>
  <c r="L39" i="18"/>
  <c r="B11" i="18" s="1"/>
  <c r="B8" i="18" s="1"/>
  <c r="K39" i="18"/>
  <c r="K38" i="18" s="1"/>
  <c r="L38" i="18"/>
  <c r="G38" i="18"/>
  <c r="E38" i="18"/>
  <c r="F38" i="18" s="1"/>
  <c r="C38" i="18"/>
  <c r="L37" i="18"/>
  <c r="K37" i="18"/>
  <c r="H37" i="18" s="1"/>
  <c r="L36" i="18"/>
  <c r="F55" i="18" s="1"/>
  <c r="K36" i="18"/>
  <c r="K35" i="18" s="1"/>
  <c r="L35" i="18"/>
  <c r="G35" i="18"/>
  <c r="E35" i="18"/>
  <c r="F35" i="18" s="1"/>
  <c r="C35" i="18"/>
  <c r="L34" i="18"/>
  <c r="L45" i="18" s="1"/>
  <c r="K34" i="18"/>
  <c r="D54" i="18" s="1"/>
  <c r="A28" i="18"/>
  <c r="A27" i="18"/>
  <c r="A26" i="18"/>
  <c r="A25" i="18"/>
  <c r="A24" i="18"/>
  <c r="A23" i="18"/>
  <c r="A21" i="18"/>
  <c r="A20" i="18"/>
  <c r="A19" i="18"/>
  <c r="E15" i="18"/>
  <c r="I15" i="18" s="1"/>
  <c r="D15" i="18"/>
  <c r="E14" i="18"/>
  <c r="I14" i="18" s="1"/>
  <c r="D14" i="18"/>
  <c r="E13" i="18"/>
  <c r="I13" i="18" s="1"/>
  <c r="D13" i="18"/>
  <c r="E12" i="18"/>
  <c r="I12" i="18" s="1"/>
  <c r="D12" i="18"/>
  <c r="E11" i="18"/>
  <c r="I11" i="18" s="1"/>
  <c r="D11" i="18"/>
  <c r="E10" i="18"/>
  <c r="I10" i="18" s="1"/>
  <c r="D10" i="18"/>
  <c r="C10" i="18"/>
  <c r="B10" i="18"/>
  <c r="E9" i="18"/>
  <c r="I9" i="18" s="1"/>
  <c r="D9" i="18"/>
  <c r="C9" i="18"/>
  <c r="B9" i="18"/>
  <c r="E8" i="18"/>
  <c r="D8" i="18"/>
  <c r="C8" i="18"/>
  <c r="E7" i="18"/>
  <c r="I7" i="18" s="1"/>
  <c r="D7" i="18"/>
  <c r="E6" i="18"/>
  <c r="I6" i="18" s="1"/>
  <c r="D6" i="18"/>
  <c r="C6" i="18"/>
  <c r="E5" i="18"/>
  <c r="I5" i="18" s="1"/>
  <c r="D5" i="18"/>
  <c r="C5" i="18"/>
  <c r="B5" i="18"/>
  <c r="B13" i="18" s="1"/>
  <c r="E4" i="18"/>
  <c r="D4" i="18"/>
  <c r="C4" i="18"/>
  <c r="B63" i="15"/>
  <c r="I6" i="15"/>
  <c r="B69" i="15"/>
  <c r="H38" i="18" l="1"/>
  <c r="D38" i="18"/>
  <c r="J121" i="18"/>
  <c r="H10" i="18" s="1"/>
  <c r="I121" i="18"/>
  <c r="H121" i="18"/>
  <c r="F10" i="18" s="1"/>
  <c r="D122" i="18"/>
  <c r="J9" i="18"/>
  <c r="K9" i="18" s="1"/>
  <c r="J4" i="18"/>
  <c r="I4" i="18"/>
  <c r="I8" i="18"/>
  <c r="K10" i="18"/>
  <c r="J120" i="18"/>
  <c r="I120" i="18"/>
  <c r="H120" i="18"/>
  <c r="F9" i="18" s="1"/>
  <c r="J11" i="18"/>
  <c r="G10" i="18"/>
  <c r="H35" i="18"/>
  <c r="D35" i="18"/>
  <c r="F59" i="18"/>
  <c r="D121" i="18"/>
  <c r="H118" i="18"/>
  <c r="I118" i="18"/>
  <c r="J118" i="18"/>
  <c r="J10" i="18"/>
  <c r="L10" i="18" s="1"/>
  <c r="G9" i="18"/>
  <c r="C13" i="18"/>
  <c r="D56" i="18"/>
  <c r="C7" i="18" s="1"/>
  <c r="D116" i="18"/>
  <c r="J117" i="18"/>
  <c r="H6" i="18" s="1"/>
  <c r="J122" i="18"/>
  <c r="B6" i="18"/>
  <c r="H9" i="18"/>
  <c r="M9" i="18" s="1"/>
  <c r="H36" i="18"/>
  <c r="H39" i="18"/>
  <c r="H43" i="18"/>
  <c r="K45" i="18"/>
  <c r="H45" i="18" s="1"/>
  <c r="J38" i="18" s="1"/>
  <c r="F56" i="18"/>
  <c r="C11" i="18" s="1"/>
  <c r="G6" i="18"/>
  <c r="H34" i="18"/>
  <c r="D55" i="18"/>
  <c r="D59" i="18" s="1"/>
  <c r="H117" i="18"/>
  <c r="F6" i="18" s="1"/>
  <c r="H122" i="18"/>
  <c r="B7" i="18"/>
  <c r="C116" i="18"/>
  <c r="J116" i="18" l="1"/>
  <c r="H5" i="18" s="1"/>
  <c r="I116" i="18"/>
  <c r="G5" i="18" s="1"/>
  <c r="H116" i="18"/>
  <c r="F5" i="18" s="1"/>
  <c r="G14" i="18"/>
  <c r="H14" i="18"/>
  <c r="B15" i="18"/>
  <c r="B4" i="18"/>
  <c r="K14" i="18"/>
  <c r="B14" i="18"/>
  <c r="D117" i="18"/>
  <c r="I35" i="18"/>
  <c r="D118" i="18"/>
  <c r="I38" i="18"/>
  <c r="F11" i="18"/>
  <c r="F8" i="18" s="1"/>
  <c r="G11" i="18"/>
  <c r="L11" i="18" s="1"/>
  <c r="H11" i="18"/>
  <c r="M11" i="18" s="1"/>
  <c r="F7" i="18"/>
  <c r="G7" i="18"/>
  <c r="C15" i="18"/>
  <c r="H7" i="18"/>
  <c r="K7" i="18"/>
  <c r="N7" i="18" s="1"/>
  <c r="O7" i="18" s="1"/>
  <c r="J15" i="18"/>
  <c r="F14" i="18"/>
  <c r="G8" i="18"/>
  <c r="J13" i="18"/>
  <c r="N9" i="18"/>
  <c r="O9" i="18" s="1"/>
  <c r="J8" i="18"/>
  <c r="K6" i="18"/>
  <c r="N6" i="18" s="1"/>
  <c r="O6" i="18" s="1"/>
  <c r="J14" i="18"/>
  <c r="N14" i="18" s="1"/>
  <c r="O14" i="18" s="1"/>
  <c r="N10" i="18"/>
  <c r="O10" i="18" s="1"/>
  <c r="C14" i="18"/>
  <c r="L6" i="18"/>
  <c r="L14" i="18" s="1"/>
  <c r="I45" i="18"/>
  <c r="J43" i="18"/>
  <c r="I40" i="18"/>
  <c r="J39" i="18"/>
  <c r="I37" i="18"/>
  <c r="J36" i="18"/>
  <c r="I34" i="18"/>
  <c r="I41" i="18"/>
  <c r="J37" i="18"/>
  <c r="I43" i="18"/>
  <c r="J42" i="18"/>
  <c r="I39" i="18"/>
  <c r="I36" i="18"/>
  <c r="J45" i="18"/>
  <c r="I42" i="18"/>
  <c r="J41" i="18"/>
  <c r="J40" i="18"/>
  <c r="J34" i="18"/>
  <c r="L7" i="18"/>
  <c r="J35" i="18"/>
  <c r="M10" i="18"/>
  <c r="L9" i="18"/>
  <c r="M6" i="18"/>
  <c r="M14" i="18" s="1"/>
  <c r="K11" i="18"/>
  <c r="N11" i="18" s="1"/>
  <c r="O11" i="18" s="1"/>
  <c r="K8" i="18" l="1"/>
  <c r="J12" i="18"/>
  <c r="H15" i="18"/>
  <c r="M7" i="18"/>
  <c r="H4" i="18"/>
  <c r="H13" i="18"/>
  <c r="M5" i="18"/>
  <c r="N8" i="18"/>
  <c r="O8" i="18" s="1"/>
  <c r="H8" i="18"/>
  <c r="M8" i="18" s="1"/>
  <c r="G15" i="18"/>
  <c r="L15" i="18" s="1"/>
  <c r="M15" i="18"/>
  <c r="F13" i="18"/>
  <c r="F12" i="18" s="1"/>
  <c r="F4" i="18"/>
  <c r="K5" i="18"/>
  <c r="L8" i="18"/>
  <c r="F15" i="18"/>
  <c r="K15" i="18" s="1"/>
  <c r="N15" i="18" s="1"/>
  <c r="O15" i="18" s="1"/>
  <c r="B12" i="18"/>
  <c r="C12" i="18"/>
  <c r="G4" i="18"/>
  <c r="G13" i="18"/>
  <c r="L5" i="18"/>
  <c r="L13" i="18"/>
  <c r="K4" i="18" l="1"/>
  <c r="N4" i="18" s="1"/>
  <c r="O4" i="18" s="1"/>
  <c r="N5" i="18"/>
  <c r="O5" i="18" s="1"/>
  <c r="L4" i="18"/>
  <c r="K13" i="18"/>
  <c r="M4" i="18"/>
  <c r="G12" i="18"/>
  <c r="L12" i="18" s="1"/>
  <c r="M13" i="18"/>
  <c r="M12" i="18" s="1"/>
  <c r="H12" i="18"/>
  <c r="K12" i="18" l="1"/>
  <c r="N12" i="18" s="1"/>
  <c r="O12" i="18" s="1"/>
  <c r="N13" i="18"/>
  <c r="O13" i="18" s="1"/>
  <c r="I7" i="15" l="1"/>
  <c r="I5" i="15"/>
  <c r="C15" i="15" l="1"/>
  <c r="C14" i="15"/>
  <c r="C13" i="15"/>
  <c r="C11" i="15"/>
  <c r="C10" i="15"/>
  <c r="C9" i="15"/>
  <c r="C7" i="15"/>
  <c r="C6" i="15"/>
  <c r="C5" i="15"/>
  <c r="D11" i="15"/>
  <c r="D10" i="15"/>
  <c r="D9" i="15"/>
  <c r="K16" i="15"/>
  <c r="B66" i="15"/>
  <c r="B62" i="15"/>
  <c r="B61" i="15"/>
  <c r="B60" i="15"/>
  <c r="B54" i="15"/>
  <c r="B53" i="15"/>
  <c r="B52" i="15"/>
  <c r="B51" i="15"/>
  <c r="E5" i="15" s="1"/>
  <c r="E6" i="15" s="1"/>
  <c r="E7" i="15" s="1"/>
  <c r="E11" i="15" s="1"/>
  <c r="E15" i="15" s="1"/>
  <c r="B47" i="15"/>
  <c r="B33" i="15"/>
  <c r="J16" i="15"/>
  <c r="I16" i="15"/>
  <c r="H16" i="15"/>
  <c r="G16" i="15"/>
  <c r="F16" i="15"/>
  <c r="E16" i="15"/>
  <c r="D16" i="15"/>
  <c r="C16" i="15"/>
  <c r="B16" i="15"/>
  <c r="G5" i="15"/>
  <c r="G9" i="15" s="1"/>
  <c r="G13" i="15" l="1"/>
  <c r="F11" i="15"/>
  <c r="D14" i="15"/>
  <c r="I10" i="15"/>
  <c r="G6" i="15"/>
  <c r="D13" i="15"/>
  <c r="I13" i="15" s="1"/>
  <c r="I9" i="15"/>
  <c r="D15" i="15"/>
  <c r="I15" i="15" s="1"/>
  <c r="I11" i="15"/>
  <c r="E9" i="15"/>
  <c r="E10" i="15"/>
  <c r="E14" i="15" s="1"/>
  <c r="F5" i="15"/>
  <c r="H5" i="15" s="1"/>
  <c r="F6" i="15"/>
  <c r="H6" i="15" s="1"/>
  <c r="F7" i="15"/>
  <c r="G7" i="15"/>
  <c r="I1232" i="7"/>
  <c r="I615" i="7"/>
  <c r="L20" i="7"/>
  <c r="L19" i="7"/>
  <c r="L18" i="7"/>
  <c r="L17" i="7" s="1"/>
  <c r="L16" i="7"/>
  <c r="L15" i="7"/>
  <c r="L14" i="7" s="1"/>
  <c r="L12" i="7"/>
  <c r="L11" i="7"/>
  <c r="L13" i="7" s="1"/>
  <c r="L10" i="7"/>
  <c r="L9" i="7"/>
  <c r="L8" i="7"/>
  <c r="L6" i="7"/>
  <c r="L7" i="7" s="1"/>
  <c r="L5" i="7"/>
  <c r="L4" i="7"/>
  <c r="G11" i="15" l="1"/>
  <c r="I14" i="15"/>
  <c r="F14" i="15"/>
  <c r="H14" i="15" s="1"/>
  <c r="F10" i="15"/>
  <c r="H10" i="15" s="1"/>
  <c r="E13" i="15"/>
  <c r="F9" i="15"/>
  <c r="H9" i="15" s="1"/>
  <c r="F13" i="15"/>
  <c r="H13" i="15" s="1"/>
  <c r="J6" i="15"/>
  <c r="J5" i="15"/>
  <c r="K5" i="15"/>
  <c r="K6" i="15"/>
  <c r="G10" i="15"/>
  <c r="F15" i="15"/>
  <c r="H15" i="15" s="1"/>
  <c r="H11" i="15"/>
  <c r="H7" i="15"/>
  <c r="K7" i="15" s="1"/>
  <c r="K6" i="4"/>
  <c r="K7" i="4" s="1"/>
  <c r="B67" i="4"/>
  <c r="B72" i="5"/>
  <c r="B71" i="5"/>
  <c r="B70" i="5"/>
  <c r="B69" i="5"/>
  <c r="J68" i="5"/>
  <c r="J66" i="5"/>
  <c r="J65" i="5"/>
  <c r="J64" i="5"/>
  <c r="J63" i="5"/>
  <c r="J62" i="5"/>
  <c r="J61" i="5"/>
  <c r="J58" i="5"/>
  <c r="J67" i="5" s="1"/>
  <c r="I58" i="5"/>
  <c r="F58" i="5"/>
  <c r="E58" i="5"/>
  <c r="D58" i="5"/>
  <c r="H58" i="5" s="1"/>
  <c r="G13" i="5" s="1"/>
  <c r="C58" i="5"/>
  <c r="H57" i="5"/>
  <c r="G57" i="5"/>
  <c r="H56" i="5"/>
  <c r="H66" i="5" s="1"/>
  <c r="G11" i="5" s="1"/>
  <c r="G56" i="5"/>
  <c r="H55" i="5"/>
  <c r="H65" i="5" s="1"/>
  <c r="G10" i="5" s="1"/>
  <c r="G55" i="5"/>
  <c r="H54" i="5"/>
  <c r="H64" i="5" s="1"/>
  <c r="G9" i="5" s="1"/>
  <c r="G54" i="5"/>
  <c r="H53" i="5"/>
  <c r="G53" i="5"/>
  <c r="H52" i="5"/>
  <c r="G52" i="5"/>
  <c r="H51" i="5"/>
  <c r="H62" i="5" s="1"/>
  <c r="G5" i="5" s="1"/>
  <c r="G51" i="5"/>
  <c r="G58" i="5" s="1"/>
  <c r="B46" i="5"/>
  <c r="B45" i="5"/>
  <c r="F44" i="5"/>
  <c r="G43" i="5"/>
  <c r="D12" i="5" s="1"/>
  <c r="F43" i="5"/>
  <c r="E43" i="5"/>
  <c r="D9" i="5" s="1"/>
  <c r="D43" i="5"/>
  <c r="D44" i="5" s="1"/>
  <c r="B37" i="5"/>
  <c r="H14" i="5"/>
  <c r="G14" i="5"/>
  <c r="E14" i="5"/>
  <c r="D14" i="5"/>
  <c r="C14" i="5"/>
  <c r="B14" i="5"/>
  <c r="B12" i="5"/>
  <c r="B11" i="5"/>
  <c r="B10" i="5"/>
  <c r="B9" i="5"/>
  <c r="G8" i="5"/>
  <c r="B8" i="5"/>
  <c r="G7" i="5"/>
  <c r="B7" i="5"/>
  <c r="G6" i="5"/>
  <c r="B6" i="5"/>
  <c r="B5" i="5"/>
  <c r="B4" i="5"/>
  <c r="C6" i="4"/>
  <c r="D6" i="4"/>
  <c r="E6" i="4"/>
  <c r="O6" i="4"/>
  <c r="O10" i="4" s="1"/>
  <c r="C7" i="4"/>
  <c r="D7" i="4"/>
  <c r="E7" i="4"/>
  <c r="O7" i="4"/>
  <c r="O11" i="4" s="1"/>
  <c r="C8" i="4"/>
  <c r="D8" i="4"/>
  <c r="E8" i="4"/>
  <c r="O8" i="4"/>
  <c r="O12" i="4" s="1"/>
  <c r="C10" i="4"/>
  <c r="D10" i="4"/>
  <c r="E10" i="4"/>
  <c r="F10" i="4"/>
  <c r="C11" i="4"/>
  <c r="D11" i="4"/>
  <c r="E11" i="4"/>
  <c r="F11" i="4"/>
  <c r="C12" i="4"/>
  <c r="D12" i="4"/>
  <c r="E12" i="4"/>
  <c r="F12" i="4"/>
  <c r="B13" i="4"/>
  <c r="C13" i="4"/>
  <c r="D13" i="4"/>
  <c r="E13" i="4"/>
  <c r="F13" i="4"/>
  <c r="G13" i="4"/>
  <c r="H13" i="4"/>
  <c r="K13" i="4"/>
  <c r="L13" i="4"/>
  <c r="O13" i="4"/>
  <c r="P13" i="4"/>
  <c r="B34" i="4"/>
  <c r="B35" i="4"/>
  <c r="D38" i="4"/>
  <c r="D39" i="4"/>
  <c r="D40" i="4"/>
  <c r="D41" i="4"/>
  <c r="D42" i="4"/>
  <c r="D43" i="4"/>
  <c r="D44" i="4"/>
  <c r="D45" i="4"/>
  <c r="D46" i="4"/>
  <c r="B49" i="4"/>
  <c r="B53" i="4"/>
  <c r="G6" i="4" s="1"/>
  <c r="B54" i="4"/>
  <c r="B55" i="4"/>
  <c r="B56" i="4"/>
  <c r="B62" i="4"/>
  <c r="B63" i="4"/>
  <c r="B64" i="4"/>
  <c r="J15" i="15" l="1"/>
  <c r="J11" i="15"/>
  <c r="L6" i="15"/>
  <c r="J10" i="15"/>
  <c r="J7" i="15"/>
  <c r="J13" i="15"/>
  <c r="K13" i="15"/>
  <c r="J14" i="15"/>
  <c r="K11" i="15"/>
  <c r="K14" i="15"/>
  <c r="G14" i="15"/>
  <c r="L5" i="15"/>
  <c r="J9" i="15"/>
  <c r="K9" i="15"/>
  <c r="K10" i="15"/>
  <c r="L15" i="15"/>
  <c r="K15" i="15"/>
  <c r="G15" i="15"/>
  <c r="D47" i="4"/>
  <c r="H67" i="5"/>
  <c r="G12" i="5" s="1"/>
  <c r="F12" i="5"/>
  <c r="J12" i="5" s="1"/>
  <c r="E12" i="5"/>
  <c r="I12" i="5" s="1"/>
  <c r="H12" i="5"/>
  <c r="F9" i="5"/>
  <c r="J9" i="5" s="1"/>
  <c r="E9" i="5"/>
  <c r="I9" i="5" s="1"/>
  <c r="H9" i="5"/>
  <c r="D4" i="5"/>
  <c r="D5" i="5"/>
  <c r="D6" i="5"/>
  <c r="D7" i="5"/>
  <c r="D8" i="5"/>
  <c r="D10" i="5"/>
  <c r="D11" i="5"/>
  <c r="D13" i="5"/>
  <c r="H13" i="5" s="1"/>
  <c r="H61" i="5"/>
  <c r="G4" i="5" s="1"/>
  <c r="H63" i="5"/>
  <c r="C13" i="5"/>
  <c r="H6" i="4"/>
  <c r="L6" i="4" s="1"/>
  <c r="P6" i="4" s="1"/>
  <c r="I6" i="4"/>
  <c r="M6" i="4" s="1"/>
  <c r="Q6" i="4" s="1"/>
  <c r="J6" i="4"/>
  <c r="N6" i="4" s="1"/>
  <c r="R6" i="4" s="1"/>
  <c r="G7" i="4"/>
  <c r="H7" i="4" s="1"/>
  <c r="L7" i="4" s="1"/>
  <c r="P7" i="4" s="1"/>
  <c r="P14" i="4" s="1"/>
  <c r="K8" i="4"/>
  <c r="K10" i="4" s="1"/>
  <c r="K11" i="4" s="1"/>
  <c r="K12" i="4" s="1"/>
  <c r="L13" i="15" l="1"/>
  <c r="L10" i="15"/>
  <c r="L11" i="15"/>
  <c r="L9" i="15"/>
  <c r="L14" i="15"/>
  <c r="L7" i="15"/>
  <c r="F7" i="5"/>
  <c r="J7" i="5" s="1"/>
  <c r="E7" i="5"/>
  <c r="I7" i="5" s="1"/>
  <c r="H7" i="5"/>
  <c r="F11" i="5"/>
  <c r="J11" i="5" s="1"/>
  <c r="E11" i="5"/>
  <c r="I11" i="5" s="1"/>
  <c r="H11" i="5"/>
  <c r="F6" i="5"/>
  <c r="J6" i="5" s="1"/>
  <c r="E6" i="5"/>
  <c r="I6" i="5" s="1"/>
  <c r="H6" i="5"/>
  <c r="F10" i="5"/>
  <c r="J10" i="5" s="1"/>
  <c r="E10" i="5"/>
  <c r="I10" i="5" s="1"/>
  <c r="H10" i="5"/>
  <c r="F5" i="5"/>
  <c r="J5" i="5" s="1"/>
  <c r="E5" i="5"/>
  <c r="I5" i="5" s="1"/>
  <c r="H5" i="5"/>
  <c r="F8" i="5"/>
  <c r="J8" i="5" s="1"/>
  <c r="E8" i="5"/>
  <c r="I8" i="5" s="1"/>
  <c r="H8" i="5"/>
  <c r="F4" i="5"/>
  <c r="E4" i="5"/>
  <c r="H4" i="5"/>
  <c r="L14" i="4"/>
  <c r="I7" i="4"/>
  <c r="M7" i="4" s="1"/>
  <c r="J7" i="4"/>
  <c r="N7" i="4" s="1"/>
  <c r="G8" i="4"/>
  <c r="B64" i="2"/>
  <c r="B63" i="2"/>
  <c r="B62" i="2"/>
  <c r="B56" i="2"/>
  <c r="B55" i="2"/>
  <c r="B54" i="2"/>
  <c r="B53" i="2"/>
  <c r="B49" i="2"/>
  <c r="D46" i="2"/>
  <c r="D45" i="2"/>
  <c r="D44" i="2"/>
  <c r="D43" i="2"/>
  <c r="D42" i="2"/>
  <c r="D41" i="2"/>
  <c r="D40" i="2"/>
  <c r="D39" i="2"/>
  <c r="D38" i="2"/>
  <c r="B35" i="2"/>
  <c r="B34" i="2"/>
  <c r="M14" i="2"/>
  <c r="P14" i="2" s="1"/>
  <c r="R13" i="2"/>
  <c r="Q13" i="2"/>
  <c r="N13" i="2"/>
  <c r="M13" i="2"/>
  <c r="J13" i="2"/>
  <c r="I13" i="2"/>
  <c r="H13" i="2"/>
  <c r="G13" i="2"/>
  <c r="F13" i="2"/>
  <c r="E13" i="2"/>
  <c r="D13" i="2"/>
  <c r="C13" i="2"/>
  <c r="B13" i="2"/>
  <c r="H12" i="2"/>
  <c r="E12" i="2"/>
  <c r="D12" i="2"/>
  <c r="C12" i="2"/>
  <c r="H11" i="2"/>
  <c r="E11" i="2"/>
  <c r="D11" i="2"/>
  <c r="C11" i="2"/>
  <c r="H10" i="2"/>
  <c r="E10" i="2"/>
  <c r="D10" i="2"/>
  <c r="C10" i="2"/>
  <c r="H8" i="2"/>
  <c r="Q8" i="2" s="1"/>
  <c r="Q12" i="2" s="1"/>
  <c r="E8" i="2"/>
  <c r="D8" i="2"/>
  <c r="K8" i="2" s="1"/>
  <c r="C8" i="2"/>
  <c r="H7" i="2"/>
  <c r="Q7" i="2" s="1"/>
  <c r="Q11" i="2" s="1"/>
  <c r="E7" i="2"/>
  <c r="D7" i="2"/>
  <c r="K7" i="2" s="1"/>
  <c r="C7" i="2"/>
  <c r="M6" i="2"/>
  <c r="M7" i="2" s="1"/>
  <c r="M8" i="2" s="1"/>
  <c r="M10" i="2" s="1"/>
  <c r="M11" i="2" s="1"/>
  <c r="M12" i="2" s="1"/>
  <c r="I6" i="2"/>
  <c r="I7" i="2" s="1"/>
  <c r="I8" i="2" s="1"/>
  <c r="H6" i="2"/>
  <c r="Q6" i="2" s="1"/>
  <c r="Q10" i="2" s="1"/>
  <c r="E6" i="2"/>
  <c r="D6" i="2"/>
  <c r="C6" i="2"/>
  <c r="I4" i="5" l="1"/>
  <c r="E13" i="5"/>
  <c r="I13" i="5" s="1"/>
  <c r="J4" i="5"/>
  <c r="F13" i="5"/>
  <c r="J13" i="5" s="1"/>
  <c r="J8" i="4"/>
  <c r="N8" i="4" s="1"/>
  <c r="R8" i="4" s="1"/>
  <c r="G10" i="4"/>
  <c r="H8" i="4"/>
  <c r="L8" i="4" s="1"/>
  <c r="P8" i="4" s="1"/>
  <c r="I8" i="4"/>
  <c r="M8" i="4" s="1"/>
  <c r="Q8" i="4" s="1"/>
  <c r="R7" i="4"/>
  <c r="R14" i="4" s="1"/>
  <c r="N14" i="4"/>
  <c r="Q7" i="4"/>
  <c r="Q14" i="4" s="1"/>
  <c r="M14" i="4"/>
  <c r="O7" i="2"/>
  <c r="S7" i="2" s="1"/>
  <c r="O8" i="2"/>
  <c r="S8" i="2" s="1"/>
  <c r="K6" i="2"/>
  <c r="O6" i="2" s="1"/>
  <c r="S6" i="2" s="1"/>
  <c r="D47" i="2"/>
  <c r="I10" i="2"/>
  <c r="K10" i="2" s="1"/>
  <c r="O10" i="2" s="1"/>
  <c r="S10" i="2" s="1"/>
  <c r="J8" i="2"/>
  <c r="N8" i="2" s="1"/>
  <c r="R8" i="2" s="1"/>
  <c r="J6" i="2"/>
  <c r="N6" i="2" s="1"/>
  <c r="R6" i="2" s="1"/>
  <c r="J7" i="2"/>
  <c r="N7" i="2" s="1"/>
  <c r="R7" i="2" s="1"/>
  <c r="N14" i="2"/>
  <c r="O14" i="2"/>
  <c r="L6" i="2"/>
  <c r="P6" i="2" s="1"/>
  <c r="T6" i="2" s="1"/>
  <c r="L7" i="2"/>
  <c r="P7" i="2" s="1"/>
  <c r="T7" i="2" s="1"/>
  <c r="L8" i="2"/>
  <c r="P8" i="2" s="1"/>
  <c r="T8" i="2" s="1"/>
  <c r="G11" i="4" l="1"/>
  <c r="H10" i="4"/>
  <c r="L10" i="4" s="1"/>
  <c r="P10" i="4" s="1"/>
  <c r="I10" i="4"/>
  <c r="M10" i="4" s="1"/>
  <c r="Q10" i="4" s="1"/>
  <c r="J10" i="4"/>
  <c r="N10" i="4" s="1"/>
  <c r="R10" i="4" s="1"/>
  <c r="I11" i="2"/>
  <c r="J10" i="2"/>
  <c r="N10" i="2" s="1"/>
  <c r="R10" i="2" s="1"/>
  <c r="L10" i="2"/>
  <c r="P10" i="2" s="1"/>
  <c r="T10" i="2" s="1"/>
  <c r="I11" i="4" l="1"/>
  <c r="M11" i="4" s="1"/>
  <c r="Q11" i="4" s="1"/>
  <c r="G12" i="4"/>
  <c r="H11" i="4"/>
  <c r="L11" i="4" s="1"/>
  <c r="P11" i="4" s="1"/>
  <c r="J11" i="4"/>
  <c r="N11" i="4" s="1"/>
  <c r="R11" i="4" s="1"/>
  <c r="I12" i="2"/>
  <c r="J11" i="2"/>
  <c r="N11" i="2" s="1"/>
  <c r="R11" i="2" s="1"/>
  <c r="K11" i="2"/>
  <c r="O11" i="2" s="1"/>
  <c r="S11" i="2" s="1"/>
  <c r="L11" i="2"/>
  <c r="P11" i="2" s="1"/>
  <c r="T11" i="2" s="1"/>
  <c r="I12" i="4" l="1"/>
  <c r="M12" i="4" s="1"/>
  <c r="Q12" i="4" s="1"/>
  <c r="H12" i="4"/>
  <c r="L12" i="4" s="1"/>
  <c r="P12" i="4" s="1"/>
  <c r="J12" i="4"/>
  <c r="N12" i="4" s="1"/>
  <c r="R12" i="4" s="1"/>
  <c r="J12" i="2"/>
  <c r="N12" i="2" s="1"/>
  <c r="R12" i="2" s="1"/>
  <c r="L12" i="2"/>
  <c r="P12" i="2" s="1"/>
  <c r="T12" i="2" s="1"/>
  <c r="K12" i="2"/>
  <c r="O12" i="2" s="1"/>
  <c r="S12" i="2" s="1"/>
</calcChain>
</file>

<file path=xl/sharedStrings.xml><?xml version="1.0" encoding="utf-8"?>
<sst xmlns="http://schemas.openxmlformats.org/spreadsheetml/2006/main" count="7073" uniqueCount="550">
  <si>
    <t>Estimated Gain in Life Expectancy from One Day of Mask Use by a One Patient Infected with COVID-19 or Average Person in Population</t>
  </si>
  <si>
    <t>Scenario</t>
  </si>
  <si>
    <r>
      <t>R</t>
    </r>
    <r>
      <rPr>
        <b/>
        <vertAlign val="subscript"/>
        <sz val="10"/>
        <color theme="0"/>
        <rFont val="Calibri"/>
        <family val="2"/>
        <scheme val="minor"/>
      </rPr>
      <t>0</t>
    </r>
  </si>
  <si>
    <t>Reduction in Cases per Patient Using Mask During Entire Illness</t>
  </si>
  <si>
    <t>Sympto-matic Case Fatality Rate</t>
  </si>
  <si>
    <t>Percent of Infections That are Asymp-tomatic</t>
  </si>
  <si>
    <t>Implied Infection Fatality Rate</t>
  </si>
  <si>
    <t>Percent of Time Sympto-matic Patient Wears Mask</t>
  </si>
  <si>
    <t>Net Reduction in Deaths Per Symptomatic Patient Who Wears a Mask</t>
  </si>
  <si>
    <t>Lost Life Expectancy per Death, Discounted 3% (years)</t>
  </si>
  <si>
    <t>Gain in Life Expectancy from One Day of Mask Use by One Infected Patient While Symptomatic (hours)</t>
  </si>
  <si>
    <t>Gain in Life Expectancy from One Day of Mask Use by Average Person in Population (minutes)</t>
  </si>
  <si>
    <t>Ex-pected</t>
  </si>
  <si>
    <t>Lower bound</t>
  </si>
  <si>
    <t>Upper bound</t>
  </si>
  <si>
    <t>Based on Results in Non-healthcare Settings</t>
  </si>
  <si>
    <t>Best Case</t>
  </si>
  <si>
    <t>Expected</t>
  </si>
  <si>
    <t>Worst Case</t>
  </si>
  <si>
    <t>Based on Results in All Settings</t>
  </si>
  <si>
    <t>Notes</t>
  </si>
  <si>
    <t>Last update: 7/8/2020</t>
  </si>
  <si>
    <t>Notes:</t>
  </si>
  <si>
    <t>[A]</t>
  </si>
  <si>
    <r>
      <t>R</t>
    </r>
    <r>
      <rPr>
        <vertAlign val="subscript"/>
        <sz val="10"/>
        <color theme="1"/>
        <rFont val="Calibri"/>
        <family val="2"/>
        <scheme val="minor"/>
      </rPr>
      <t>0</t>
    </r>
    <r>
      <rPr>
        <sz val="10"/>
        <color theme="1"/>
        <rFont val="Calibri"/>
        <family val="2"/>
        <scheme val="minor"/>
      </rPr>
      <t>=Basic reproduction number: The average number of people that one person with COVID-19 is likely to infect in a population without any immunity (from previous infection) or any interventions. All figures shown are reported at [S2]</t>
    </r>
  </si>
  <si>
    <t>[B]</t>
  </si>
  <si>
    <r>
      <t>All figures calculated: R</t>
    </r>
    <r>
      <rPr>
        <vertAlign val="subscript"/>
        <sz val="10"/>
        <color theme="1"/>
        <rFont val="Calibri"/>
        <family val="2"/>
        <scheme val="minor"/>
      </rPr>
      <t>0</t>
    </r>
    <r>
      <rPr>
        <sz val="10"/>
        <color theme="1"/>
        <rFont val="Calibri"/>
        <family val="2"/>
        <scheme val="minor"/>
      </rPr>
      <t xml:space="preserve"> x (1 - RR), where RR= expected relative risk reported in [P1].</t>
    </r>
  </si>
  <si>
    <t>[C]</t>
  </si>
  <si>
    <r>
      <t>All figures calculated: R</t>
    </r>
    <r>
      <rPr>
        <vertAlign val="subscript"/>
        <sz val="10"/>
        <color theme="1"/>
        <rFont val="Calibri"/>
        <family val="2"/>
        <scheme val="minor"/>
      </rPr>
      <t>0</t>
    </r>
    <r>
      <rPr>
        <sz val="10"/>
        <color theme="1"/>
        <rFont val="Calibri"/>
        <family val="2"/>
        <scheme val="minor"/>
      </rPr>
      <t xml:space="preserve"> x (1 - RR), where RR= upper bound relative risk reported in [P1].</t>
    </r>
  </si>
  <si>
    <t>[D]</t>
  </si>
  <si>
    <r>
      <t>All figures calculated: R</t>
    </r>
    <r>
      <rPr>
        <vertAlign val="subscript"/>
        <sz val="10"/>
        <color theme="1"/>
        <rFont val="Calibri"/>
        <family val="2"/>
        <scheme val="minor"/>
      </rPr>
      <t>0</t>
    </r>
    <r>
      <rPr>
        <sz val="10"/>
        <color theme="1"/>
        <rFont val="Calibri"/>
        <family val="2"/>
        <scheme val="minor"/>
      </rPr>
      <t xml:space="preserve"> x (1 - RR), where RR= lower bound relative risk reported in [P1].</t>
    </r>
  </si>
  <si>
    <t>[E]</t>
  </si>
  <si>
    <t>Symptomatic Case Fatality Ratio=The number of symptomatic individuals who die of the disease among all individuals experiencing symptoms from the infection. This parameter is not necessarily equivalent to the number of reported deaths per reported cases, because many cases and deaths are never confirmed to be COVID-19, and there is a lag in time between when people are infected and when they die. This parameter reflects the existing standard of care and may be affected by the introduction of new therapeutics. All figures shown are CDC estimates reported at [S1]</t>
  </si>
  <si>
    <t>[F]</t>
  </si>
  <si>
    <t>All figures shown are CDC estimates reported at [S2]</t>
  </si>
  <si>
    <t>[G]</t>
  </si>
  <si>
    <t>All figures calculated: (Symptomatic Case Fatality Ratio) x (1 - % of Infections That Are Asymptomatic).</t>
  </si>
  <si>
    <t>[H]</t>
  </si>
  <si>
    <t>Symptomatic patients are assumed to wear mask only after onset of symptoms. Figure shows is calculated at [P3].</t>
  </si>
  <si>
    <t>[I]</t>
  </si>
  <si>
    <t>All figures calculated: (Symptomatic Case Fatality Ratio) x (1 - % of Infections That Are Asymptomatic) x (Percent of Time Symptomatic Patient Wears Mask).</t>
  </si>
  <si>
    <t>[J]</t>
  </si>
  <si>
    <t xml:space="preserve">Figure shown is weighted average loss of life expectancy, discounted at 3%, for those in U.S. dying of COVID-19 based on age distribution of deaths from January 21-July 5, 2020, as calculated in [S4]. </t>
  </si>
  <si>
    <t>[K]</t>
  </si>
  <si>
    <t>All figures calculated: [(Net Reduction in Deaths Per Symptomatic Patient Who Wears a Mask) x (Lost Life Expectancy per Death in Years) x (365 days/Year)]/(Mean Time from Onset of Symptoms to Recovery).</t>
  </si>
  <si>
    <t>[L]</t>
  </si>
  <si>
    <t>[M]</t>
  </si>
  <si>
    <t>All figures calculated:  60 x (Gain in Life Expectancy from One Day of Mask Use by One Infected Patient While Symptomatic, in hours) x (Daily Prevalence of COVID-19 Infection) x [(Time from Exposure to Symptoms to Symptom Onset) + (Mean Time from Onset of Symptoms to Recovery)]/(Mean Time from Onset of Symptoms to Recovery).</t>
  </si>
  <si>
    <t>Parameters:</t>
  </si>
  <si>
    <t>[P1]</t>
  </si>
  <si>
    <t>Impact of Mask Wearing</t>
  </si>
  <si>
    <t>Relative risk in non healthcare settings</t>
  </si>
  <si>
    <t>[P1a]</t>
  </si>
  <si>
    <t>Relative risk in all settings</t>
  </si>
  <si>
    <t>[P2a]</t>
  </si>
  <si>
    <t>Based on 3 studies involving 725 subjects, all outside U.S. and all related to SARS, as reported in Figure 4 at [S1]</t>
  </si>
  <si>
    <t>Based on 39 studies involving 10,170 subjects, 4 in U.S. and all related to SARS, MERS or COVID-19 (4 studies) as reported in Figure 4 at [S1].</t>
  </si>
  <si>
    <t>[P2]</t>
  </si>
  <si>
    <t>Distribution of COVID-19 Cases</t>
  </si>
  <si>
    <t>Age Group</t>
  </si>
  <si>
    <t>Cases</t>
  </si>
  <si>
    <t>0 - 4 Years</t>
  </si>
  <si>
    <t>5 - 17 Years</t>
  </si>
  <si>
    <t>18 - 29 Years</t>
  </si>
  <si>
    <t>30 - 39 Years</t>
  </si>
  <si>
    <t>40 - 49 Years</t>
  </si>
  <si>
    <t>50 - 64 Years</t>
  </si>
  <si>
    <t>65 - 74 Years</t>
  </si>
  <si>
    <t>75 - 84 Years</t>
  </si>
  <si>
    <t>85+ Years</t>
  </si>
  <si>
    <t>Total</t>
  </si>
  <si>
    <t xml:space="preserve">CDC estimate of cases, as reported at [S6]; updated July 5 2020 5:45PM. These are based on aggregate counts of COVID-19 cases reported by state and territorial jurisdictions to the Centers for Disease Control and Prevention (CDC) since January 21, 2020, with the exception of persons repatriated to the United States from Wuhan, China, and Japan. The numbers are confirmed and probable COVID-19 cases as reported by U.S. states, U.S. territories, New York City, and the District of Columbia from the previous day.   Demographic data for cases is based on a subset of cases where case-level data is available. Data from 2,525,992 cases. Age group was available for 2,321,378 (91%) cases. </t>
  </si>
  <si>
    <t>[P3]</t>
  </si>
  <si>
    <t>Percent of Time Symptomatic Patients Wear Mask</t>
  </si>
  <si>
    <t>Time from exposure to symptoms to symptom onset (days)</t>
  </si>
  <si>
    <t>[P3a]</t>
  </si>
  <si>
    <t>Mean time from onset of symptoms to recovery (days)</t>
  </si>
  <si>
    <t>[P3b]</t>
  </si>
  <si>
    <t>Percent of time symptomatic patients are symptomatic</t>
  </si>
  <si>
    <t>[P3c]</t>
  </si>
  <si>
    <t>CDC figure reported at [S2].</t>
  </si>
  <si>
    <t>Figure reported at [S5].</t>
  </si>
  <si>
    <t>Figure calculated: (1 - [Time from Exposure to Symptoms to Symptom Onset]/[Mean Time from Onset of Symptoms to Recovery]).</t>
  </si>
  <si>
    <t>[P4]</t>
  </si>
  <si>
    <t>Daily Risk of Infection</t>
  </si>
  <si>
    <t>Cumulative COVID-19 deaths, January 21-July 5, 2020</t>
  </si>
  <si>
    <t>[P4a]</t>
  </si>
  <si>
    <t>Total U.S. population, 2020</t>
  </si>
  <si>
    <t>[P4b]</t>
  </si>
  <si>
    <t>Total days between January 21-July 5</t>
  </si>
  <si>
    <t>CDC estimate of total deaths shown (inclusive of states not reporting demographic data) as reported at [S2]; updated July 5, 2020, 5:45 pm. The National Center for Health Statistics (NCHS) uses incoming data from death certificates to produce provisional COVID-19 death counts. These include deaths occurring within the 50 states and the District of Columbia. Provisional death counts may not match counts from other sources, such as media reports or numbers from county health departments. Counts by NCHS often track 1–2 weeks behind other data. When COVID-19 is reported as a cause of death on the death certificate, it is coded and counted as a death due to COVID-19. COVID-19 should not be reported on the death certificate if it did not cause or contribute to the death [S4].</t>
  </si>
  <si>
    <t>2020 national population projections as reported at [S7].</t>
  </si>
  <si>
    <t>Sources:</t>
  </si>
  <si>
    <t>[S1]</t>
  </si>
  <si>
    <r>
      <t xml:space="preserve">Chu, Derek K, Elie A Akl, Stephanie Duda, Karla Solo, Sally Yaacoub, Holger J Schünemann, Derek K Chu, et al. “Physical Distancing, Face Masks, and Eye Protection to Prevent Person-to-Person Transmission of SARS-CoV-2 and COVID-19: A Systematic Review and Meta-Analysis.” </t>
    </r>
    <r>
      <rPr>
        <i/>
        <sz val="11"/>
        <color theme="1"/>
        <rFont val="Calibri"/>
        <family val="2"/>
        <scheme val="minor"/>
      </rPr>
      <t>The Lancet</t>
    </r>
    <r>
      <rPr>
        <sz val="11"/>
        <color theme="1"/>
        <rFont val="Calibri"/>
        <family val="2"/>
        <scheme val="minor"/>
      </rPr>
      <t xml:space="preserve"> 395, no. 10242 (June 27, 2020): 1973–87. https://doi.org/10.1016/S0140-6736(20)31142-9.</t>
    </r>
  </si>
  <si>
    <t>[S2]</t>
  </si>
  <si>
    <r>
      <t xml:space="preserve">Centers for Disease Control and Prevention (CDC). </t>
    </r>
    <r>
      <rPr>
        <i/>
        <sz val="10"/>
        <color theme="1"/>
        <rFont val="Calibri"/>
        <family val="2"/>
        <scheme val="minor"/>
      </rPr>
      <t>Coronavirus Disease 2019 (COVID-19)</t>
    </r>
    <r>
      <rPr>
        <sz val="10"/>
        <color theme="1"/>
        <rFont val="Calibri"/>
        <family val="2"/>
        <scheme val="minor"/>
      </rPr>
      <t>, COVID-19 Pandemic Planning Scenarios. Available at: https://www.cdc.gov/coronavirus/2019-ncov/hcp/planning-scenarios.html (accessed July 5, 2020).</t>
    </r>
  </si>
  <si>
    <t>[S3]</t>
  </si>
  <si>
    <r>
      <t xml:space="preserve">Viscusi, W. Kip, Jahn K. Hakes, and Alan Carlin. </t>
    </r>
    <r>
      <rPr>
        <i/>
        <sz val="11"/>
        <color theme="1"/>
        <rFont val="Calibri"/>
        <family val="2"/>
        <scheme val="minor"/>
      </rPr>
      <t>Measures of Mortality Risks</t>
    </r>
    <r>
      <rPr>
        <sz val="11"/>
        <color theme="1"/>
        <rFont val="Calibri"/>
        <family val="2"/>
        <scheme val="minor"/>
      </rPr>
      <t>, October 1995. https://doi.org/10.1080/00431672.1996.9925382.</t>
    </r>
  </si>
  <si>
    <t>[S4]</t>
  </si>
  <si>
    <t>Conover, Christopher J., Lost Life Expectancy and QALYs by Age for first 150,000 U.S. COVID-19 Deaths. Duke University, July 7, 2020.</t>
  </si>
  <si>
    <t>[S5]</t>
  </si>
  <si>
    <r>
      <t xml:space="preserve">Khalili, Malahat, Mohammad Karamouzian, Naser Nasiri, Sara Javadi, Ali Mirzazadeh, and Hamid Sharifi. “Epidemiological Characteristics of COVID-19; a Systemic Review and Meta-Analysis.” </t>
    </r>
    <r>
      <rPr>
        <i/>
        <sz val="11"/>
        <color theme="1"/>
        <rFont val="Calibri"/>
        <family val="2"/>
        <scheme val="minor"/>
      </rPr>
      <t>MedRXiv</t>
    </r>
    <r>
      <rPr>
        <sz val="11"/>
        <color theme="1"/>
        <rFont val="Calibri"/>
        <family val="2"/>
        <scheme val="minor"/>
      </rPr>
      <t xml:space="preserve"> Preprint (April 6, 2020). https://doi.org/10.1101/2020.04.01.20050138.</t>
    </r>
  </si>
  <si>
    <t>[S6]</t>
  </si>
  <si>
    <r>
      <t xml:space="preserve">Centers for Disease Control and Prevention (CDC). </t>
    </r>
    <r>
      <rPr>
        <i/>
        <sz val="10"/>
        <color theme="1"/>
        <rFont val="Calibri"/>
        <family val="2"/>
        <scheme val="minor"/>
      </rPr>
      <t>CDC COVID Data Tracker</t>
    </r>
    <r>
      <rPr>
        <sz val="10"/>
        <color theme="1"/>
        <rFont val="Calibri"/>
        <family val="2"/>
        <scheme val="minor"/>
      </rPr>
      <t>, Demographic Trends of COVID-19 cases and deaths in the US reported to CDC. Available at: https://www.cdc.gov/covid-data-tracker/index.html#demographics (accessed July 3, 2020).</t>
    </r>
  </si>
  <si>
    <t>[S7]</t>
  </si>
  <si>
    <t>National Population Projections: United States by Age, Gender, Ethnicity and Race for years 2014-2060, released by the U.S. Census Bureau on December 10, 2014, on CDC WONDER Online Database, 2015. Accessed at http://wonder.cdc.gov/population-projections-2014-2060.html on Jul 3, 2020 2:56:52 PM.</t>
  </si>
  <si>
    <t>[S8]</t>
  </si>
  <si>
    <r>
      <t xml:space="preserve">Centers for Disease Control and Prevention (CDC). </t>
    </r>
    <r>
      <rPr>
        <i/>
        <sz val="10"/>
        <color theme="1"/>
        <rFont val="Calibri"/>
        <family val="2"/>
        <scheme val="minor"/>
      </rPr>
      <t>CDC COVID Data Tracker</t>
    </r>
    <r>
      <rPr>
        <sz val="10"/>
        <color theme="1"/>
        <rFont val="Calibri"/>
        <family val="2"/>
        <scheme val="minor"/>
      </rPr>
      <t>, United States COVID-19 Cases and Deaths by State. Available at: https://www.cdc.gov/covid-data-tracker/index.html#cases (accessed July 3, 2020).</t>
    </r>
  </si>
  <si>
    <t>[S9]</t>
  </si>
  <si>
    <r>
      <t xml:space="preserve">Centers for Disease Control and Prevention (CDC). </t>
    </r>
    <r>
      <rPr>
        <i/>
        <sz val="10"/>
        <color theme="1"/>
        <rFont val="Calibri"/>
        <family val="2"/>
        <scheme val="minor"/>
      </rPr>
      <t>National Center for Health Statistics</t>
    </r>
    <r>
      <rPr>
        <sz val="10"/>
        <color theme="1"/>
        <rFont val="Calibri"/>
        <family val="2"/>
        <scheme val="minor"/>
      </rPr>
      <t>, COVID-19 Death Data and Resources. Available at: https://www.cdc.gov/nchs/nvss/covid-19.htm#understanding-the-numbers (accessed July 5, 2020).</t>
    </r>
  </si>
  <si>
    <t>Daily Prev-alence of Undiagnosed COVID-19 Infection</t>
  </si>
  <si>
    <t>Cumulative COVID-19 cases, January 21-July 5, 2020</t>
  </si>
  <si>
    <t xml:space="preserve">All figures calculated: [(Average Daily Total Infections - Average Daily Cases)/Total Population)] x (Mean Duration of COVID-19, in days). Total Infections are imputed by dividing Cumulative COVID-19 deaths, January 21-July 5, 2020 [P4] by the Implied Infection Fatality Rate shown in the table; this quotient is divided by 166 to obtain a daily average. Cumulative COVID-19 cases, January 21-July 5, 2020 [P4] is converted to Average Daily Cases using the same denominator. The Mean Duration of COVID-19, in days is calculated by adding Time from Exposure to Symptoms to Symptom Onset) and (Mean Time from Onset of Symptoms to Recovery), both reported at [P3]. </t>
  </si>
  <si>
    <t>[P4c]</t>
  </si>
  <si>
    <t>CDC estimate; botal cases are based on aggregate counts of COVID-19 cases reported by state and territorial jurisdictions to the Centers for Disease Control and Prevention (CDC) since January 21, 2020, with the exception of persons repatriated to the United States from Wuhan, China, and Japan. The numbers are confirmed and probable COVID-19 cases as reported by U.S. states, U.S. territories, New York City, and the District of Columbia from the previous day. Case numbers reported on other websites may differ from what is posted on CDC's website because CDC’s overall case numbers are validated through a confirmation process with each jurisdiction. Differences between reporting jurisdictions and CDC’s website may occur due to the timing of reporting and website updates. The process used for finding and confirming cases displayed by other sites may differ.</t>
  </si>
  <si>
    <t>Note: this spreadsheet is based on CDC Pandemic Planning document released in April 2020. It is superseded by the version based on the CDC document released on July 10, 2020</t>
  </si>
  <si>
    <r>
      <t xml:space="preserve">Centers for Disease Control and Prevention (CDC). </t>
    </r>
    <r>
      <rPr>
        <i/>
        <sz val="10"/>
        <color theme="1"/>
        <rFont val="Calibri"/>
        <family val="2"/>
        <scheme val="minor"/>
      </rPr>
      <t>Coronavirus Disease 2019 (COVID-19)</t>
    </r>
    <r>
      <rPr>
        <sz val="10"/>
        <color theme="1"/>
        <rFont val="Calibri"/>
        <family val="2"/>
        <scheme val="minor"/>
      </rPr>
      <t>, COVID-19 Pandemic Planning Scenarios. Available at: https://www.cdc.gov/coronavirus/2019-ncov/hcp/planning-scenarios.html (accessed July 16, 2020).</t>
    </r>
  </si>
  <si>
    <t>Infection Fatality Rate</t>
  </si>
  <si>
    <t>All figures calculated:  for symptomatic patients, [(Lost Life Expectancy per Death, Discounted 3%) x 365 (days) x  24 (hours)]/(Gain in Life Expetancy from One Day of Mask Use by One Infected Patient, in hours). for average person, [(Lost Life Expectancy per Death, Discounted 3%) x 365 (days) x  24 (hours) x 60 (minutes)]/(Gain in Life Expetancy from One Day of Mask Use by Average Person, in minutes).</t>
  </si>
  <si>
    <t>Memorandum: Days of Mask Wearing per Death Averted (Expected, based on results in nn-healthcare settings), 000's [L]</t>
  </si>
  <si>
    <t>Lost Life Expectancy and QALYs by Age for first 150,000 U.S. COVID-19 Deaths</t>
  </si>
  <si>
    <t>Total Deaths</t>
  </si>
  <si>
    <t>Lost Life Expectancy (years)</t>
  </si>
  <si>
    <t>Discounted Cohort LLE</t>
  </si>
  <si>
    <t>Average HRQoL</t>
  </si>
  <si>
    <t>Quality-Adjusted LLE</t>
  </si>
  <si>
    <t>Period LLE</t>
  </si>
  <si>
    <t>Cohort LLE</t>
  </si>
  <si>
    <t>4 &amp; under</t>
  </si>
  <si>
    <t>5-17</t>
  </si>
  <si>
    <t>18-29</t>
  </si>
  <si>
    <t>30-39</t>
  </si>
  <si>
    <t>40-49</t>
  </si>
  <si>
    <t>50-64</t>
  </si>
  <si>
    <t>65-74</t>
  </si>
  <si>
    <t>75-84</t>
  </si>
  <si>
    <t>≥85</t>
  </si>
  <si>
    <t>Last update: 7/22/2020</t>
  </si>
  <si>
    <t>Total assumed. All other figures are calculated by author using this total and percent distribution of deaths reported in [P1]. Note that CDC's provisional death counts often track 1–2 weeks behind other data [S7].</t>
  </si>
  <si>
    <t>Figures shown are life expectancy at mid-point of age category shown, as reported in Table 1 at [S1]; for age 85 and over, life expectancy at age 89 is used since that is the age at which approximately half of those who live to be age 85 are still alive. Total is calculated by author as a weighted average using total deaths as weights.</t>
  </si>
  <si>
    <t>All figures are calculated by author: (Period Life Expectancy) x (Ratio: Cohort/Period). The latter ratio is calculated in [P2]; the ratio for life expectancy at birth is used for all age groups below age 65 and the raito for life expectancy at 65 is used for all remaining age groups. Total is calculated as a weighted average using total deaths as weights.</t>
  </si>
  <si>
    <t xml:space="preserve">All figures calculated by author as present values of a discounted stream using Cohort LLE as the period and the discount rate shown. Totals are calculated as a weighted average using total deaths as weights.The Second Panel on Cost-effectiveness in Health and Medicine recommends use of a 3% discount rate [S5]. Broughel suggests the use of 7% [S2]. As a comparison, empirical work suggests that in forming their risk beliefs the public discounts years of life lost at a rate from 3.3—12.4 percent [S4], so 7% would approximate the average of that range. </t>
  </si>
  <si>
    <t>Figures shown are EQ-5D quality of life estimates derived from representative samples of the U.S. adults, with extrapolations made by author to younger ages. The figures are averages of estimates from two large studies reported at [P3}</t>
  </si>
  <si>
    <t>All figures are calculated by author: (Cohort Life Expectancy) x (Average HRQoL</t>
  </si>
  <si>
    <t>Percentage Distribution of COVID-19 Cases and Deaths</t>
  </si>
  <si>
    <t>Deaths</t>
  </si>
  <si>
    <t>CDC estimate of deaths, as reported at [S1];  Jul 22 2020 12:15PM (see [P1b] for additional detail about sources and methods).Demographic data for deaths is based on a subset of cases where case-level data is available. Data from 110,049 deaths. Age group was available for 110,034 (99%) deaths. All reported figures are rounded to nearest tenth of a percent; reported figure for 0-4 years and age 5-17 was "under 0.1%" so is assumed in table above to be 0.025%. The sum of all figures from 18 and above is 100.1 due to rounding, so all other reported figures were adjusted by 0.9985 so that percentages sum to 100.00.</t>
  </si>
  <si>
    <t>Ratio of Cohort to Period Life Expectancy</t>
  </si>
  <si>
    <t>Life Expectancy at Birth</t>
  </si>
  <si>
    <t>Life Expectancy at Age 65</t>
  </si>
  <si>
    <t>Male</t>
  </si>
  <si>
    <t>Female</t>
  </si>
  <si>
    <t>Period Life Expectancy</t>
  </si>
  <si>
    <t>Cohort Life Expectancy</t>
  </si>
  <si>
    <t>[P2b]</t>
  </si>
  <si>
    <t>Ratio: Cohort/Period LE</t>
  </si>
  <si>
    <t>Average</t>
  </si>
  <si>
    <t>All figures are Intermediate projections for newborns and those reaching age 65 in the year 2020 from Social Security Administration, as reported in [S6]. The period life expectancy at a given age for a given year is the average number of years of life remaining if a group of persons at that exact age, born on January 1, were to experience the mortality rates for that year over the course of their remaining lives.</t>
  </si>
  <si>
    <t>All figures are Intermediate projections for newborns and those reaching age 65 in the year 2020 from Social Security Administration, as reported in [S7]. The cohort life expectancy at a given age for a given year is the average number of years of life remaining if a group of persons at that exact age, born on January 1, were to experience the mortality rates for the series of years in which they reach each succeeding age.</t>
  </si>
  <si>
    <t>Quality of Life by Age (EQ-5D)</t>
  </si>
  <si>
    <t>Hanmer et al. (2006)</t>
  </si>
  <si>
    <t>Sullivan &amp; Ghushchyan (2006)</t>
  </si>
  <si>
    <t>Males</t>
  </si>
  <si>
    <t>Females</t>
  </si>
  <si>
    <t>Total (calculated)</t>
  </si>
  <si>
    <t>Total EQ-5D QoL</t>
  </si>
  <si>
    <t>Total MEPS</t>
  </si>
  <si>
    <t>EQ-5D QoL</t>
  </si>
  <si>
    <t>20-29</t>
  </si>
  <si>
    <t>50-59</t>
  </si>
  <si>
    <t>60-69</t>
  </si>
  <si>
    <t>70-79</t>
  </si>
  <si>
    <t>80-89</t>
  </si>
  <si>
    <t>Sum</t>
  </si>
  <si>
    <t>Wtd. Average</t>
  </si>
  <si>
    <t>Extrapolations and Interpolations</t>
  </si>
  <si>
    <t>18-19</t>
  </si>
  <si>
    <t>[P3d]</t>
  </si>
  <si>
    <t xml:space="preserve">All figures reported in Table 1 at [S4]. Total MEPS=total number who completed EQ-5D questionnaire in 2001 Medical Expenditure Panel Survey, a survey of adults age 18 and older used to elicit Quality-of-Life estimates. The MEPS is a 2-year panel survey, with an overlapping cohort design, taken from the National Health Interview Survey cohort (the NHIS is a nationally representative survey of the US noninstitutionalized civilian population). </t>
  </si>
  <si>
    <t>All figures are mean estimates of utility (the Continuous Health-Related Quality-of-Life Summary Score) reported in Table 1 at [S4]. The EuroQol EQ-5D has 5 multiple-choice questions that form a descriptive system with 5 dimensions concerning the respondent’s health today: mobility, self-care, usual activities, pain, and anxiety/depression. Each question has 3 possible responses: no problems, some problems, or extreme problems/unable to. The pattern of responses for an individual can be converted to a single summary score by applying weights from a population-based valuation set, yielding a utility-based score, ranging from the “worst imaginable health state” at 0 to the “best imaginable health state” at 100. uses time tradeoff weights recently collected from a nationally representative sample in the United States. These weights also allow for “states worse than death,” which are given negative values.</t>
  </si>
  <si>
    <t>All figures are from pooled MEPS data for 2000-2002, as reported in Table 1 at [S8].</t>
  </si>
  <si>
    <r>
      <t>All figures calculated by author, using the followng formula. Figure for 4 &amp; under = (EQ-5D, Age 20-29) x [(1+(EQ-5D, Age 20-29)/(EQ-5D, Age 30-39)]</t>
    </r>
    <r>
      <rPr>
        <vertAlign val="superscript"/>
        <sz val="11"/>
        <color theme="1"/>
        <rFont val="Calibri"/>
        <family val="2"/>
        <scheme val="minor"/>
      </rPr>
      <t>0.1</t>
    </r>
    <r>
      <rPr>
        <sz val="11"/>
        <color theme="1"/>
        <rFont val="Calibri"/>
        <family val="2"/>
        <scheme val="minor"/>
      </rPr>
      <t>-1)</t>
    </r>
    <r>
      <rPr>
        <vertAlign val="superscript"/>
        <sz val="11"/>
        <color theme="1"/>
        <rFont val="Calibri"/>
        <family val="2"/>
        <scheme val="minor"/>
      </rPr>
      <t>23</t>
    </r>
    <r>
      <rPr>
        <sz val="11"/>
        <color theme="1"/>
        <rFont val="Calibri"/>
        <family val="2"/>
        <scheme val="minor"/>
      </rPr>
      <t xml:space="preserve"> where 23 represents the number of years between the midpoint of Age 0-4 group and Age 20-29 group. The same logic was used for imputations to all other age categories shown.</t>
    </r>
  </si>
  <si>
    <r>
      <t xml:space="preserve">Arias, Elizabeth, and Jiaquan Xu. “United States Life Tables, 2017.” </t>
    </r>
    <r>
      <rPr>
        <i/>
        <sz val="10"/>
        <color theme="1"/>
        <rFont val="Calibri"/>
        <family val="2"/>
        <scheme val="minor"/>
      </rPr>
      <t>National Vital Statistics Reports</t>
    </r>
    <r>
      <rPr>
        <sz val="10"/>
        <color theme="1"/>
        <rFont val="Calibri"/>
        <family val="2"/>
        <scheme val="minor"/>
      </rPr>
      <t xml:space="preserve"> 68, no. 7 (June 24, 2019). https://doi.org/10.4135/9781412952484.n432.</t>
    </r>
  </si>
  <si>
    <r>
      <t xml:space="preserve">Broughel, James. “The Social Discount Rate: A Baseline Approach.” </t>
    </r>
    <r>
      <rPr>
        <i/>
        <sz val="11"/>
        <color theme="1"/>
        <rFont val="Calibri"/>
        <family val="2"/>
        <scheme val="minor"/>
      </rPr>
      <t xml:space="preserve">Mercatus Working Paper. Arlington, VA: Mercatus Center at George Mason University </t>
    </r>
    <r>
      <rPr>
        <sz val="11"/>
        <color theme="1"/>
        <rFont val="Calibri"/>
        <family val="2"/>
        <scheme val="minor"/>
      </rPr>
      <t>. Available at: https://doi.org/10.2139/ssrn.3191491 (accessed March 23, 2020).</t>
    </r>
  </si>
  <si>
    <r>
      <t xml:space="preserve">Hanmer, Janel, William F. Lawrence, John P. Anderson, Robert M. Kaplan, and Dennis G. Fryback. “Report of Nationally Representative Values for the Noninstitutionalized US Adult Population for 7 Health-Related Quality-of-Life Scores.” </t>
    </r>
    <r>
      <rPr>
        <i/>
        <sz val="11"/>
        <color theme="1"/>
        <rFont val="Calibri"/>
        <family val="2"/>
        <scheme val="minor"/>
      </rPr>
      <t>Medical Decision Making</t>
    </r>
    <r>
      <rPr>
        <sz val="11"/>
        <color theme="1"/>
        <rFont val="Calibri"/>
        <family val="2"/>
        <scheme val="minor"/>
      </rPr>
      <t xml:space="preserve"> 26, no. 4 (2006): 391–400. https://doi.org/10.1177/0272989X06290497.</t>
    </r>
  </si>
  <si>
    <t>Sanders, Gillian D., Peter J. Neumann, Anirban Basu, Dan W. Brock, David Feeny, Murray Krahn, Karen M. Kuntz, et al. “Supplementary Online Content: Recommendations for Conduct, Methodological Practices, and Reporting of Cost-Effectiveness Analyses: Second Panel on Cost-Effectiveness in Health and Medicine.” JAMA - Journal of the American Medical Association 316, no. 10 (2016): 1093–1103. https://doi.org/10.1001/jama.2016.12195.</t>
  </si>
  <si>
    <t>Social Security Administration, Table V.A3.--Period Life Expectancy. Available at: https://www.ssa.gov/OACT/TR/2012/lr5a3.html (accessed July 6, 2020).</t>
  </si>
  <si>
    <t>Social Security Administration, Table V.A4.--Cohort Life Expectancy. Available at: https://www.ssa.gov/OACT/TR/2012/lr5a4.html (accessed July 6, 2020).</t>
  </si>
  <si>
    <t>Sullivan, Patrick W., and Vahram Ghushchyan. Preference-Based EQ-5D Index Scores for Chronic Conditions in the United States. Medical Decision Making 26, no. 4 (2006): 410–20. https://doi.org/10.1038/jid.2014.371.</t>
  </si>
  <si>
    <t>[P5]</t>
  </si>
  <si>
    <t>Lost Life Expectancy for COVID Deaths</t>
  </si>
  <si>
    <t>Average loss of life expectancy per COVID-19 death, discounted at 3% (years)</t>
  </si>
  <si>
    <t>[P5a]</t>
  </si>
  <si>
    <r>
      <t xml:space="preserve">Viscusi, W. Kip, Jahn K. Hakes, and Alan Carlin. </t>
    </r>
    <r>
      <rPr>
        <i/>
        <sz val="11"/>
        <color theme="1"/>
        <rFont val="Calibri"/>
        <family val="2"/>
        <scheme val="minor"/>
      </rPr>
      <t>Measures of Mortality Risks.</t>
    </r>
    <r>
      <rPr>
        <sz val="11"/>
        <color theme="1"/>
        <rFont val="Calibri"/>
        <family val="2"/>
        <scheme val="minor"/>
      </rPr>
      <t xml:space="preserve"> Report prepared for Office of Policy, Planning and Evaluation U.S. Environmental Protection Agency, October 1995. Available at: https://doi.org/10.1080/00431672.1996.9925382 (accessed July 1, 2020).</t>
    </r>
  </si>
  <si>
    <t xml:space="preserve">CDC estimate of cases, as reported at [S1]; updated July 5 2020 5:45PM. These are based on aggregate counts of COVID-19 cases reported by state and territorial jurisdictions to the Centers for Disease Control and Prevention (CDC) since January 21, 2020, with the exception of persons repatriated to the United States from Wuhan, China, and Japan. The numbers are confirmed and probable COVID-19 cases as reported by U.S. states, U.S. territories, New York City, and the District of Columbia from the previous day.   Demographic data for cases is based on a subset of cases where case-level data is available. Data from 2,525,992 cases. Age group was available for 2,321,378 (91%) cases. </t>
  </si>
  <si>
    <t>R0=Basic reproduction number: The average number of people that one person with COVID-19 is likely to infect in a population without any immunity (from previous infection) or any interventions. All figures shown are reported at [S3]</t>
  </si>
  <si>
    <t>All figures are CDC estimates reported in their latest COVID-19 pandemic planning document released on July 10, 2020 [S3].</t>
  </si>
  <si>
    <t>CDC figure reported at [S3].</t>
  </si>
  <si>
    <t>Based on 3 studies involving 725 subjects, all outside U.S. and all related to SARS, as reported in Figure 4 at [S5]</t>
  </si>
  <si>
    <t>Based on 39 studies involving 10,170 subjects, 4 in U.S. and all related to SARS, MERS or COVID-19 (4 studies) as reported in Figure 4 at [S5].</t>
  </si>
  <si>
    <t>Figure reported at [S6].</t>
  </si>
  <si>
    <t>Figure reported at [S7].</t>
  </si>
  <si>
    <t>2020 national population projections as reported at [S8].</t>
  </si>
  <si>
    <t>[S10]</t>
  </si>
  <si>
    <t>Figure shown is weighted average loss of life expectancy, discounted at 3%, for those in U.S. dying of COVID-19 based on age distribution of deaths from January 21-July 5, 2020, as calculated in [S6]. A 3% discount rate is recommended by the Second Panel on Cost-effectiveness in Medicine and Health [S9] and also is the rate used by Viscusi et al. in their systematic exploration of expected loss of life expectancy across a wide range of illnesses [S3a].</t>
  </si>
  <si>
    <t>Last update: 7/23/2020</t>
  </si>
  <si>
    <t>Race</t>
  </si>
  <si>
    <t>Race Code</t>
  </si>
  <si>
    <t>Gender</t>
  </si>
  <si>
    <t>Gender Code</t>
  </si>
  <si>
    <t>Age</t>
  </si>
  <si>
    <t>Age Code</t>
  </si>
  <si>
    <t>Projected Populations</t>
  </si>
  <si>
    <t>From Column H</t>
  </si>
  <si>
    <t>American Indian or Alaska Native</t>
  </si>
  <si>
    <t>1002-5</t>
  </si>
  <si>
    <t>F</t>
  </si>
  <si>
    <t>&lt; 1 year</t>
  </si>
  <si>
    <t>Population</t>
  </si>
  <si>
    <t>1 year</t>
  </si>
  <si>
    <t>2 years</t>
  </si>
  <si>
    <t>Total population</t>
  </si>
  <si>
    <t>3 years</t>
  </si>
  <si>
    <t>Whites</t>
  </si>
  <si>
    <t>4 years</t>
  </si>
  <si>
    <t>5 years</t>
  </si>
  <si>
    <t>6 years</t>
  </si>
  <si>
    <t>Blacks</t>
  </si>
  <si>
    <t>7 years</t>
  </si>
  <si>
    <t>8 years</t>
  </si>
  <si>
    <t>9 years</t>
  </si>
  <si>
    <t>All other races</t>
  </si>
  <si>
    <t>10 years</t>
  </si>
  <si>
    <t>11 years</t>
  </si>
  <si>
    <t>12 years</t>
  </si>
  <si>
    <t>Children (under age 18)</t>
  </si>
  <si>
    <t>13 years</t>
  </si>
  <si>
    <t>Under age 5</t>
  </si>
  <si>
    <t>14 years</t>
  </si>
  <si>
    <t>Age 5-17</t>
  </si>
  <si>
    <t>15 years</t>
  </si>
  <si>
    <t>Adults (age 18-64)</t>
  </si>
  <si>
    <t>16 years</t>
  </si>
  <si>
    <t>Age 18-29</t>
  </si>
  <si>
    <t>17 years</t>
  </si>
  <si>
    <t>Age 30-64</t>
  </si>
  <si>
    <t>18 years</t>
  </si>
  <si>
    <t>Elderly (age 65 &amp; over)</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</si>
  <si>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</si>
  <si>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</si>
  <si>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</si>
  <si>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</si>
  <si>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</si>
  <si>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</si>
  <si>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</si>
  <si>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</si>
  <si>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</si>
  <si>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</si>
  <si>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</si>
  <si>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</si>
  <si>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</si>
  <si>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</si>
  <si>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</si>
  <si>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</si>
  <si>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</si>
  <si>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</si>
  <si>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</si>
  <si>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</si>
  <si>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</si>
  <si>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</si>
  <si>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</si>
  <si>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</si>
  <si>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</si>
  <si>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</si>
  <si>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</si>
  <si>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</si>
  <si>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</si>
  <si>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</si>
  <si>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</si>
  <si>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50 years</t>
  </si>
  <si>
    <t>51 years</t>
  </si>
  <si>
    <t>52 years</t>
  </si>
  <si>
    <t>53 years</t>
  </si>
  <si>
    <t>54 years</t>
  </si>
  <si>
    <t>55 years</t>
  </si>
  <si>
    <t>56 years</t>
  </si>
  <si>
    <t>57 years</t>
  </si>
  <si>
    <t>58 years</t>
  </si>
  <si>
    <t>59 years</t>
  </si>
  <si>
    <t>60 years</t>
  </si>
  <si>
    <t>61 years</t>
  </si>
  <si>
    <t>62 years</t>
  </si>
  <si>
    <t>63 years</t>
  </si>
  <si>
    <t>64 years</t>
  </si>
  <si>
    <t>65 years</t>
  </si>
  <si>
    <t>66 years</t>
  </si>
  <si>
    <t>67 years</t>
  </si>
  <si>
    <t>68 years</t>
  </si>
  <si>
    <t>69 years</t>
  </si>
  <si>
    <t>70 years</t>
  </si>
  <si>
    <t>71 years</t>
  </si>
  <si>
    <t>72 years</t>
  </si>
  <si>
    <t>73 years</t>
  </si>
  <si>
    <t>74 years</t>
  </si>
  <si>
    <t>75 years</t>
  </si>
  <si>
    <t>76 years</t>
  </si>
  <si>
    <t>77 years</t>
  </si>
  <si>
    <t>78 years</t>
  </si>
  <si>
    <t>79 years</t>
  </si>
  <si>
    <t>80 years</t>
  </si>
  <si>
    <t>81 years</t>
  </si>
  <si>
    <t>82 years</t>
  </si>
  <si>
    <t>83 years</t>
  </si>
  <si>
    <t>84 years</t>
  </si>
  <si>
    <t>85 years</t>
  </si>
  <si>
    <t>86 years</t>
  </si>
  <si>
    <t>87 years</t>
  </si>
  <si>
    <t>88 years</t>
  </si>
  <si>
    <t>89 years</t>
  </si>
  <si>
    <t>90 years</t>
  </si>
  <si>
    <t>91 years</t>
  </si>
  <si>
    <t>92 years</t>
  </si>
  <si>
    <t>93 years</t>
  </si>
  <si>
    <t>94 years</t>
  </si>
  <si>
    <t>95 years</t>
  </si>
  <si>
    <t>96 years</t>
  </si>
  <si>
    <t>97 years</t>
  </si>
  <si>
    <t>98 years</t>
  </si>
  <si>
    <t>99 years</t>
  </si>
  <si>
    <t>100+ years</t>
  </si>
  <si>
    <t>100+</t>
  </si>
  <si>
    <t>M</t>
  </si>
  <si>
    <t>Asian</t>
  </si>
  <si>
    <t>2028-9</t>
  </si>
  <si>
    <t>Black or African American</t>
  </si>
  <si>
    <t>2054-5</t>
  </si>
  <si>
    <t>Native Hawaiian or Pacific Islander</t>
  </si>
  <si>
    <t>2076-8</t>
  </si>
  <si>
    <t>White</t>
  </si>
  <si>
    <t>2106-3</t>
  </si>
  <si>
    <t>Two or More Races</t>
  </si>
  <si>
    <t>MULTI</t>
  </si>
  <si>
    <t>---</t>
  </si>
  <si>
    <t>Dataset: National Population Projections 2014-2060</t>
  </si>
  <si>
    <t>Query Parameters:</t>
  </si>
  <si>
    <t>Race: American Indian or Alaska Native; Asian; Black or African American; Native Hawaiian or Pacific Islander; White; Two or</t>
  </si>
  <si>
    <t>More Races</t>
  </si>
  <si>
    <t>Year: 2020</t>
  </si>
  <si>
    <t>Group By: Race; Gender; Age</t>
  </si>
  <si>
    <t>Show Totals: True</t>
  </si>
  <si>
    <t>Show Zero Values: False</t>
  </si>
  <si>
    <t>Help: See http://wonder.cdc.gov/wonder/help/PopulationProjections-2060.html for more information.</t>
  </si>
  <si>
    <t>Query Date: Jul 17, 2020 3:20:14 PM</t>
  </si>
  <si>
    <t>Suggested Citation: National Population Projections: United States by Age, Gender, Ethnicity and Race for years 2014-2060,</t>
  </si>
  <si>
    <t>released by the U.S. Census Bureau on December 10, 2014, on CDC WONDER Online Database, 2015. Accessed at</t>
  </si>
  <si>
    <t>http://wonder.cdc.gov/population-projections-2014-2060.html on Jul 17, 2020 3:20:14 PM</t>
  </si>
  <si>
    <t>Caveats:</t>
  </si>
  <si>
    <t>1. Population estimates and projections are updated periodically, population estimates and projections produced in the preceding</t>
  </si>
  <si>
    <t>years are superseded by the most recent population series for the same years. Population estimates are preferred to projections</t>
  </si>
  <si>
    <t>when estimates are available, unless the objective is to compare numbers with others in the projected series.</t>
  </si>
  <si>
    <t>Source: Sanders, Gillian D., Peter J. Neumann, Anirban Basu, Dan W. Brock, David Feeny, Murray Krahn, Karen M. Kuntz, et al. “Supplementary Online Content: Recommendations for Conduct, Methodological Practices, and Reporting of Cost-Effectiveness Analyses: Second Panel on Cost-Effectiveness in Health and Medicine.” JAMA - Journal of the American Medical Association 316, no. 10 (2016): 1093–1103. https://doi.org/10.1001/jama.2016.12195.</t>
  </si>
  <si>
    <t>Source: Viscusi, W. Kip, Jahn K. Hakes, and Alan Carlin. Measures of Mortality Risks. Report prepared for Office of Policy, Planning and Evaluation U.S. Environmental Protection Agency, October 1995. Available at: https://doi.org/10.1080/00431672.1996.9925382 (accessed July 1, 2020).</t>
  </si>
  <si>
    <t>Reference to 3% discount rate at bottom of table.</t>
  </si>
  <si>
    <t>Cases by Age Group</t>
  </si>
  <si>
    <t>Date generated: Wed Jul 22 2020 16:32:53 GMT-0400 (Eastern Daylight Time)</t>
  </si>
  <si>
    <t>Percentage</t>
  </si>
  <si>
    <t>Data from 2,938,248 cases. Age group was available for 2,832,434 (96%) cases.</t>
  </si>
  <si>
    <t>Source: https://www.cdc.gov/covid-data-tracker/index.html#demographics</t>
  </si>
  <si>
    <t>Total cases:</t>
  </si>
  <si>
    <r>
      <rPr>
        <b/>
        <sz val="11"/>
        <color theme="1"/>
        <rFont val="Calibri"/>
        <family val="2"/>
        <scheme val="minor"/>
      </rPr>
      <t>Data Sources, References &amp; Notes</t>
    </r>
    <r>
      <rPr>
        <sz val="11"/>
        <color theme="1"/>
        <rFont val="Calibri"/>
        <family val="2"/>
        <scheme val="minor"/>
      </rPr>
      <t>: Data are based on COVID-19 case-level data reported by state and territorial jurisdictions to the Centers for Disease Control and Prevention (CDC). The numbers are confirmed and probable COVID-19 cases as reported by U.S. states, U.S. territories, New York City, and the District of Columbia from the previous day. Case numbers reported on other websites may differ from what is posted on CDC's website due to delays in reporting to CDC. The process used for finding and confirming cases displayed by other sites may differ. Due to a state removing duplicate cases from their reporting, the counts reported on 7/20/2020 reflect the removal of ~26,000 previously reported cases. Due to a state system’s correction of a transformation on date of birth that incorrectly modified the century from 19xx to 20xx, the age counts reflected on 7/21/2020 reflect the adjustment of ~600 ages.</t>
    </r>
  </si>
  <si>
    <t>Deaths by Age Group</t>
  </si>
  <si>
    <t>&lt;0.1</t>
  </si>
  <si>
    <t>Data from 110,049 deaths. Age group was available for 110,034 (99%) deaths.</t>
  </si>
  <si>
    <t>https://www.cdc.gov/covid-data-tracker/index.html#cases</t>
  </si>
  <si>
    <t>Source: https://www.cdc.gov/covid-data-tracker/index.html#cases (downloaded July 22, 2020)</t>
  </si>
  <si>
    <t>Source: Centers for Disease Control and Prevention (CDC). National Center for Health Statistics, COVID-19 Death Data and Resources. Available at: https://www.cdc.gov/nchs/nvss/covid-19.htm#understanding-the-numbers (accessed July 5, 2020).</t>
  </si>
  <si>
    <t>Source: Chu, Derek K, Elie A Akl, Stephanie Duda, Karla Solo, Sally Yaacoub, Holger J Schünemann, Derek K Chu, et al. “Physical Distancing, Face Masks, and Eye Protection to Prevent Person-to-Person Transmission of SARS-CoV-2 and COVID-19: A Systematic Review and Meta-Analysis.” The Lancet 395, no. 10242 (June 27, 2020): 1973–87. https://doi.org/10.1016/S0140-6736(20)31142-9.</t>
  </si>
  <si>
    <t>Expected Impact of Mask Use</t>
  </si>
  <si>
    <t>Lower Bound Impact of Mask Use</t>
  </si>
  <si>
    <t>Upper Bound Impact of Mask Use</t>
  </si>
  <si>
    <t>Lost Life Expectancy per COVID-19 Death, Discounted 3% (years)</t>
  </si>
  <si>
    <t>Symptomatic Patients</t>
  </si>
  <si>
    <t>Average Person</t>
  </si>
  <si>
    <t>Last update: 7/24/2020</t>
  </si>
  <si>
    <r>
      <t>All figures are calculated by author: -R</t>
    </r>
    <r>
      <rPr>
        <vertAlign val="subscript"/>
        <sz val="10"/>
        <color theme="1"/>
        <rFont val="Calibri"/>
        <family val="2"/>
        <scheme val="minor"/>
      </rPr>
      <t>0</t>
    </r>
    <r>
      <rPr>
        <sz val="10"/>
        <color theme="1"/>
        <rFont val="Calibri"/>
        <family val="2"/>
        <scheme val="minor"/>
      </rPr>
      <t xml:space="preserve"> x (Net Change in Chance of Viral Infection or Transmision), using figures reported in [P1].</t>
    </r>
  </si>
  <si>
    <t>Symptomatic patients are assumed to wear mask only after onset of symptoms. Figure shown is calculated by author at [P3].</t>
  </si>
  <si>
    <t>Lower      bound</t>
  </si>
  <si>
    <t>Cumulative deaths, January 21-July 22, 2020</t>
  </si>
  <si>
    <t>Cumulative cases, January 21-July 22, 2020</t>
  </si>
  <si>
    <t>Note: this spreadsheet is based on CDC case and death estmates through July 5 only. More importantly, it overstates the impact of mask use by using relative risk values from a a detailed table within the study rather than the summary impact estimates (net reduction in chances of transmitting infection). It is superseded by Mask Use Final table which relies on the latter and uses the latest infection and death figures from CDC.</t>
  </si>
  <si>
    <t>Days of Mask Wearing per Death Averted (000's)</t>
  </si>
  <si>
    <t>Miles of Alcohol-Impaired Driving that are Equivalent in Risk to Not Wearing a Mask for One Day</t>
  </si>
  <si>
    <t>[P6]</t>
  </si>
  <si>
    <t>Mortality Risk of Alcohol-Impaired Driving</t>
  </si>
  <si>
    <t>Estimated Loss in Life Expectancy from Alcohol-Impaired Driving, by Age and Sex</t>
  </si>
  <si>
    <t>Conover, Christopher J., Estimated Loss in Life Expectancy from Alcohol-Impaired Driving, by Age and Sex. Duke University, July 7, 2020.</t>
  </si>
  <si>
    <t>Sex/    Age Group</t>
  </si>
  <si>
    <t>Licencsed Drivers, 2018 (millions)</t>
  </si>
  <si>
    <t>Average Annual Vehicle Miles Travelled</t>
  </si>
  <si>
    <t>All Drivers in Fatal Accidents, 2018</t>
  </si>
  <si>
    <t>Average Annual Vehicle Miles Travelled at BAC=&gt;0.08%</t>
  </si>
  <si>
    <t>Lost Life Expectancy per Fatality (years)</t>
  </si>
  <si>
    <t>Drivers with BAC=&gt; 0.08%</t>
  </si>
  <si>
    <t>16-20</t>
  </si>
  <si>
    <t>21-34</t>
  </si>
  <si>
    <t>35+</t>
  </si>
  <si>
    <t>Estimated figures calculated from NHTSA data in [P1].</t>
  </si>
  <si>
    <t>All figures calculated at [P2]. Averages for total population are weighted averages calculated using the data on licensed drivers as weights.</t>
  </si>
  <si>
    <t>Figures derived from NHTSA data in the more detailed age breakdown at [P3]. Totals include drivers under age 16 and those of unknown age.</t>
  </si>
  <si>
    <t>All figures calculated: (Average Annual Vehicle Miles Travelled) x (Estimated Share of VMT Driven at BAC=&gt;0.08%) using figures for the latter estimated in [P5].</t>
  </si>
  <si>
    <t>All figures calculated: (Drivers in Fatal Accidents with BAC=&gt; 0.08%)  x (Average Deaths per Fatal Crash Involving Alcohol-Impaired Driver).  The latter ratio was calculated using (Total Deats in Crashes with At Least One Driver Having BAC=&gt; 0.08), as reported in [P4], divided by (Total Drivers with BAC=&gt;0.08% in Fatal Accidents).</t>
  </si>
  <si>
    <t>Figures shown are discounted life expectancy using a 3% discount rate, as reported in [P4]. Viscusi et al. [S14] provide a detailed justification for using discounted life expectancy as a measure of merit, along with an explanation for the use of a 3% discount rate.</t>
  </si>
  <si>
    <t>Estimated Number of Licensed Drivers Imputed from Rates of Driver Involvement in Fatal Crashes, 2018</t>
  </si>
  <si>
    <t>Relative Risk (1.0=Total Involvement Rate)</t>
  </si>
  <si>
    <t>Estimated Licensed Drivers (thousands)</t>
  </si>
  <si>
    <t>Drivers</t>
  </si>
  <si>
    <t>Involve-ment Rate</t>
  </si>
  <si>
    <t>&lt;16</t>
  </si>
  <si>
    <t>NA</t>
  </si>
  <si>
    <t>21-24</t>
  </si>
  <si>
    <t>25-34</t>
  </si>
  <si>
    <t>35-44</t>
  </si>
  <si>
    <t>45-54</t>
  </si>
  <si>
    <t>55-64</t>
  </si>
  <si>
    <t>&gt;74</t>
  </si>
  <si>
    <t>Unknown</t>
  </si>
  <si>
    <t>[P1b]</t>
  </si>
  <si>
    <t>[P1c]</t>
  </si>
  <si>
    <t>All figures are calculated: (Involvement Rate)/(Total Involvement Rate).</t>
  </si>
  <si>
    <t>All figures are calculated: 100,000 x (Drivers)/(Involvement Rate).</t>
  </si>
  <si>
    <t>Vehicle Miles Travelled (VMT), by Age, 2018</t>
  </si>
  <si>
    <t>VMT per driver</t>
  </si>
  <si>
    <t>Total VMT (billions)</t>
  </si>
  <si>
    <t>Total VMT (millions)</t>
  </si>
  <si>
    <t>16-19 reported</t>
  </si>
  <si>
    <t>16-20 imputed</t>
  </si>
  <si>
    <t>20-34</t>
  </si>
  <si>
    <t>35-54</t>
  </si>
  <si>
    <t>65+</t>
  </si>
  <si>
    <t>All figures are calculated: (2017 VMT per driver) x (Total Drivers in 2018), using estimated figures for total drivers at [P1].</t>
  </si>
  <si>
    <t>Distribution of Fatal Crashes by Driver Age</t>
  </si>
  <si>
    <t>All Fatal Crashes</t>
  </si>
  <si>
    <t>Fatal Crashes When Driver Was Alcohol-Impaired (BAC=&gt; 0.08)</t>
  </si>
  <si>
    <t>Percent of Crashes Involving Alcohol Impairment</t>
  </si>
  <si>
    <t>&lt;16 Years</t>
  </si>
  <si>
    <t>16 - 20 Years</t>
  </si>
  <si>
    <t>21 - 34 Years</t>
  </si>
  <si>
    <t>21 - 24 Years</t>
  </si>
  <si>
    <t>25 - 34 Years</t>
  </si>
  <si>
    <t>35+ Years</t>
  </si>
  <si>
    <t>35 - 44 Years</t>
  </si>
  <si>
    <t>45 - 54 Years</t>
  </si>
  <si>
    <t>55 - 64 Years</t>
  </si>
  <si>
    <t>75+ Years</t>
  </si>
  <si>
    <t>All figures are calculated from figures in adjacent columns.</t>
  </si>
  <si>
    <t>Distribution of Fatal Crash Deaths by Age</t>
  </si>
  <si>
    <t>Total Fatal Crashes</t>
  </si>
  <si>
    <t>Crashes with At Least One Driver Having BAC=&gt; 0.08</t>
  </si>
  <si>
    <t>Percent Distribution</t>
  </si>
  <si>
    <t>Drivers Age 15-20</t>
  </si>
  <si>
    <t>Drivers Age 21-64</t>
  </si>
  <si>
    <t>Drivers Age 65+</t>
  </si>
  <si>
    <t>5 - 9 Years</t>
  </si>
  <si>
    <t>10 - 15 Years</t>
  </si>
  <si>
    <t>Memorandum:</t>
  </si>
  <si>
    <t>Average Age at Death</t>
  </si>
  <si>
    <t>Lost Period Life Expectancy</t>
  </si>
  <si>
    <t>[P4d]</t>
  </si>
  <si>
    <t>Ratio of Cohort to Period LE</t>
  </si>
  <si>
    <t>[P4e]</t>
  </si>
  <si>
    <t>Lost Cohort Expectancy</t>
  </si>
  <si>
    <t>[P4f]</t>
  </si>
  <si>
    <t>Lost Life Expectancy, discounted 3%</t>
  </si>
  <si>
    <t>[P4g]</t>
  </si>
  <si>
    <t>All figures are calculated from figures in adjacent columns using Total minus Unknown as the denominator.</t>
  </si>
  <si>
    <t>All figures are weighted averages using the midpoint of each age group and percent distribution as weights.</t>
  </si>
  <si>
    <t>Figures shown are calculated: (Lost Period Life Expectancy) x (Ratio of Cohort to Period LE).</t>
  </si>
  <si>
    <t>Estimated VMT at BAC=&gt;0.08%</t>
  </si>
  <si>
    <t>Alcohol-impaired Fatal Accident Involvement Rate</t>
  </si>
  <si>
    <t>Relative Risk of Fatal Accident at BAC=&gt;0.08%</t>
  </si>
  <si>
    <t>Estimated Share of VMT Driven at BAC=&gt;0.08%</t>
  </si>
  <si>
    <t>Age 16-20</t>
  </si>
  <si>
    <t>Age 21-34</t>
  </si>
  <si>
    <t>Age 35+</t>
  </si>
  <si>
    <t>[P5b]</t>
  </si>
  <si>
    <t>[P5c]</t>
  </si>
  <si>
    <t>[P5d]</t>
  </si>
  <si>
    <t>All figures calculated in [P3].</t>
  </si>
  <si>
    <t>All figures calculated: (Percent of Crashes Involving Alcohol Impairment) x (Fatal Accident Involvement Rate), using rate reported in [P1].</t>
  </si>
  <si>
    <r>
      <t xml:space="preserve">Zador, P L, S A Krawchuk, and R B Voas. </t>
    </r>
    <r>
      <rPr>
        <i/>
        <sz val="11"/>
        <color theme="1"/>
        <rFont val="Calibri"/>
        <family val="2"/>
        <scheme val="minor"/>
      </rPr>
      <t>Relative Risk of Fatal Crash Involvement By BAC , Age , and Gender</t>
    </r>
    <r>
      <rPr>
        <sz val="11"/>
        <color theme="1"/>
        <rFont val="Calibri"/>
        <family val="2"/>
        <scheme val="minor"/>
      </rPr>
      <t>. Rockville, MD: Westat, report for the U.S. Department of Transportation, National Highway Traffic Safety Administration, Report No. DOT HS 809 050, April 2000.</t>
    </r>
  </si>
  <si>
    <t>[S11]</t>
  </si>
  <si>
    <t>[S12]</t>
  </si>
  <si>
    <t>[S13]</t>
  </si>
  <si>
    <t>Sanders, G.D.; P.J. Neumann, A. Basu et al. (13 more authors) (2016) Recommendations for conduct, methodological practices, and reporting of cost-effectiveness analyses : second panel on cost-effectiveness in health and medicine. JAMA 316(10). pp. 1093-1103. ISSN 1538-3598
https://doi.org/10.1001/jama.2016.12195</t>
  </si>
  <si>
    <t>[S14]</t>
  </si>
  <si>
    <t>[S15]</t>
  </si>
  <si>
    <t>[S16]</t>
  </si>
  <si>
    <t>CDC estimate of cases, as reported at [S1];  Jul 22 2020 12:15PM (see [P1] for additional detail about sources and methods). Demographic data for cases is based on a subset of cases where case-level data is available. Data from 2,938,248 cases. Age group was available for 2,832,434 (96%) cases.</t>
  </si>
  <si>
    <t>Figure reported at [S8].</t>
  </si>
  <si>
    <t>Net change in chance of viral infection or transmission dur to mask use compared to no mask use</t>
  </si>
  <si>
    <r>
      <t xml:space="preserve">Centers for Disease Control and Prevention (CDC). </t>
    </r>
    <r>
      <rPr>
        <i/>
        <sz val="10"/>
        <color theme="1"/>
        <rFont val="Calibri"/>
        <family val="2"/>
        <scheme val="minor"/>
      </rPr>
      <t>CDC COVID Data Tracker</t>
    </r>
    <r>
      <rPr>
        <sz val="10"/>
        <color theme="1"/>
        <rFont val="Calibri"/>
        <family val="2"/>
        <scheme val="minor"/>
      </rPr>
      <t>, Demographic Trends of COVID-19 cases and deaths in the US reported to CDC. Available at: https://www.cdc.gov/covid-data-tracker/index.html#demographics (accessed July 22, 2020).</t>
    </r>
  </si>
  <si>
    <r>
      <t xml:space="preserve">Centers for Disease Control and Prevention (CDC). </t>
    </r>
    <r>
      <rPr>
        <i/>
        <sz val="10"/>
        <color theme="1"/>
        <rFont val="Calibri"/>
        <family val="2"/>
        <scheme val="minor"/>
      </rPr>
      <t>CDC COVID Data Tracker</t>
    </r>
    <r>
      <rPr>
        <sz val="10"/>
        <color theme="1"/>
        <rFont val="Calibri"/>
        <family val="2"/>
        <scheme val="minor"/>
      </rPr>
      <t>, United States COVID-19 Cases and Deaths by State. Available at: https://www.cdc.gov/covid-data-tracker/index.html#cases (accessed July 22, 2020).</t>
    </r>
  </si>
  <si>
    <t>Source: Centers for Disease Control and Prevention (CDC). CDC COVID Data Tracker, United States COVID-19 Cases and Deaths by State. Available at: https://www.cdc.gov/covid-data-tracker/index.html#cases (accessed July 22, 2020).</t>
  </si>
  <si>
    <t>Total days between March 18-July 22</t>
  </si>
  <si>
    <t xml:space="preserve">All figures calculated: [(Average Daily Total Infections - Average Daily Cases)/Total Population)] x (Mean Duration of COVID-19, in days). Total Infections are imputed by dividing Cumulative COVID-19 deaths, January 21-July 22, 2020 [P4] by the Implied Infection Fatality Rate shown in the table; this quotient is divided by 126 to obtain a daily average (rationale for this figure explained in [P4d]. Cumulative COVID-19 cases, January 21-July 22, 2020 [P4] is converted to Average Daily Cases using the same denominator. The Mean Duration of COVID-19, in days is calculated by adding Time from Exposure to Symptoms to Symptom Onset) and (Mean Time from Onset of Symptoms to Recovery), both reported at [P3]. </t>
  </si>
  <si>
    <r>
      <t xml:space="preserve">Centers for Disease Control and Prevention (CDC). </t>
    </r>
    <r>
      <rPr>
        <i/>
        <sz val="10"/>
        <color theme="1"/>
        <rFont val="Calibri"/>
        <family val="2"/>
        <scheme val="minor"/>
      </rPr>
      <t>CDC COVID Data Tracker</t>
    </r>
    <r>
      <rPr>
        <sz val="10"/>
        <color theme="1"/>
        <rFont val="Calibri"/>
        <family val="2"/>
        <scheme val="minor"/>
      </rPr>
      <t>, Trends in Number of COVID-19 Cases in the US Reported to CDC, by State/Territory. Available at: https://www.cdc.gov/covid-data-tracker/#trends (accessed July 24, 2020).</t>
    </r>
  </si>
  <si>
    <t>Although the first case was identified on January 21, March 18 is the first day that the total number of cases exceeded 10,000 [S2], so this is a better starting point for determining the average daily number of cases infected on a typical day.</t>
  </si>
  <si>
    <t xml:space="preserve">CDC estimate of total cases shown (inclusive of states not reporting demographic data) as reported at [S3]; updated July 22, 2020, 12:15 pm. These are based on aggregate counts of COVID-19 cases reported by state and territorial jurisdictions to the Centers for Disease Control and Prevention (CDC) since January 21, 2020, with the exception of persons repatriated to the United States from Wuhan, China, and Japan. The numbers are confirmed and probable COVID-19 cases as reported by U.S. states, U.S. territories, New York City, and the District of Columbia from the previous day.  </t>
  </si>
  <si>
    <t>R0=Basic reproduction number: The average number of people that one person with COVID-19 is likely to infect in a population without any immunity (from previous infection) or any interventions. All figures shown are reported at [S4]</t>
  </si>
  <si>
    <t>All figures are CDC estimates reported in their latest COVID-19 pandemic planning document released on July 10, 2020 [S4].</t>
  </si>
  <si>
    <t>CDC figure reported at [S4].</t>
  </si>
  <si>
    <t>CDC estimate of total deaths shown (inclusive of states not reporting demographic data) as reported at [S3]; updated July 22, 2020, 12:15 pm. The National Center for Health Statistics (NCHS) uses incoming data from death certificates to produce provisional COVID-19 death counts. These include deaths occurring within the 50 states and the District of Columbia. Provisional death counts may not match counts from other sources, such as media reports or numbers from county health departments. Counts by NCHS often track 1–2 weeks behind other data. When COVID-19 is reported as a cause of death on the death certificate, it is coded and counted as a death due to COVID-19. COVID-19 should not be reported on the death certificate if it did not cause or contribute to the death [S5].</t>
  </si>
  <si>
    <t>These are the GRADE summary of findings from a systematic review of 29 unadjusted and 10 adjusted studies, as reported in Table 2 at [S6].</t>
  </si>
  <si>
    <t>Figure reported at [S7]. The figure shown is the average across all drivers. It ranges from 4 minutes for female drivers age 35 and over to 93 minutes for male drivers age 16-20.</t>
  </si>
  <si>
    <t>Figure reported at [S9].</t>
  </si>
  <si>
    <t>2020 national population projections as reported at [S10].</t>
  </si>
  <si>
    <t>Figure shown is weighted average loss of life expectancy, discounted at 3%, for those in U.S. dying of COVID-19 based on age distribution of deaths from January 21-July 22, 2020, as calculated in [S8]. A 3% discount rate is recommended by the Second Panel on Cost-effectiveness in Medicine and Health [S11] and also is the rate used by Viscusi et al. in their systematic exploration of expected loss of life expectancy across a wide range of illnesses [S12].</t>
  </si>
  <si>
    <t>Fatalities Involving Drivers with BAC=&gt;.08</t>
  </si>
  <si>
    <t>All figures are calculated by author:(100) x (Fatalities Involving Drivers with BAC=&gt;.08) x (Lost Life Expectancy per Fatality) x 365 (days) x 24 (hours) x 60 (minutes) / [(Licensed Drivers, in millions) x 1,000,000 x (Average Annual VMT Travlled at BAC=&gt;.08).</t>
  </si>
  <si>
    <t>Lost Life Expectancy from Driving 10 Miles at BAC=&gt;0.08 (minutes)</t>
  </si>
  <si>
    <t>Fatalities per 100 Million Miles of Driving at BAC=&gt;.08</t>
  </si>
  <si>
    <t>Average Miles at BAC=&gt;.08 per Fatality (millions)</t>
  </si>
  <si>
    <t>All figures are calculated by author: 100/(Average Miles at BAC=&gt;.08 per Fatality in millions).</t>
  </si>
  <si>
    <t>All figures are calculated by author: [(10) x [(Lost Life Expectancy per Fatality) x 365 (days) x 24 (hours) x 60 (minutes)] / (Lost Life Expectancy from Driving 10 Miles at BAC=&gt;.08)] / 1,000,000.</t>
  </si>
  <si>
    <t>Viscusi, W. Kip, Jahn Hakes and Alan Carlin. Measures of Mortality Risks. Report prepared for Office of Policy, Planning and Evaluation, EPA, October 1995. Available at: http://citeseerx.ist.psu.edu/viewdoc/download;jsessionid=E2DA56236ADC8C0F671F09D8C9D24176?doi=10.1.1.318.6944&amp;rep=rep1&amp;type=pdf (accessed July 8, 2020)</t>
  </si>
  <si>
    <r>
      <t xml:space="preserve">U.S. Department of Transportation, National Highway Traffic Safety Administration (NHTSA). </t>
    </r>
    <r>
      <rPr>
        <i/>
        <sz val="11"/>
        <color theme="1"/>
        <rFont val="Calibri"/>
        <family val="2"/>
        <scheme val="minor"/>
      </rPr>
      <t>Traffic Safety Facts Annual Report</t>
    </r>
    <r>
      <rPr>
        <sz val="11"/>
        <color theme="1"/>
        <rFont val="Calibri"/>
        <family val="2"/>
        <scheme val="minor"/>
      </rPr>
      <t xml:space="preserve">, generated 07/10/2020. Available at: </t>
    </r>
    <r>
      <rPr>
        <sz val="10"/>
        <color theme="1"/>
        <rFont val="Calibri"/>
        <family val="2"/>
        <scheme val="minor"/>
      </rPr>
      <t>https://cdan.nhtsa.gov/tsftables/tsfar.htm# (accessed July 9, 2020).</t>
    </r>
  </si>
  <si>
    <r>
      <t xml:space="preserve">U.S. Department of Transportation, Federal Highway Administration (FHA). </t>
    </r>
    <r>
      <rPr>
        <i/>
        <sz val="10"/>
        <color theme="1"/>
        <rFont val="Calibri"/>
        <family val="2"/>
        <scheme val="minor"/>
      </rPr>
      <t>Summary ofTravel Trends: 2017 National Household Travel Survey</t>
    </r>
    <r>
      <rPr>
        <sz val="10"/>
        <color theme="1"/>
        <rFont val="Calibri"/>
        <family val="2"/>
        <scheme val="minor"/>
      </rPr>
      <t>.  July 2018. Available at: https://nhts.ornl.gov/assets/2017_nhts_summary_travel_trends.pdf (accessed July 9, 2020).</t>
    </r>
  </si>
  <si>
    <r>
      <t xml:space="preserve">U.S. Department of Transportation, Federal Highway Administration (FHA). </t>
    </r>
    <r>
      <rPr>
        <i/>
        <sz val="10"/>
        <color theme="1"/>
        <rFont val="Calibri"/>
        <family val="2"/>
        <scheme val="minor"/>
      </rPr>
      <t>December 2018 Traffic Volume Trends</t>
    </r>
    <r>
      <rPr>
        <sz val="10"/>
        <color theme="1"/>
        <rFont val="Calibri"/>
        <family val="2"/>
        <scheme val="minor"/>
      </rPr>
      <t>.  December 2018. Available at: https://www.fhwa.dot.gov/policyinformation/travel_monitoring/18dectvt/ (accessed July 10, 2020).</t>
    </r>
  </si>
  <si>
    <r>
      <t xml:space="preserve">U.S. Department of Transportation, National Highway Traffic Safety Administration (NHTSA). </t>
    </r>
    <r>
      <rPr>
        <i/>
        <sz val="11"/>
        <color theme="1"/>
        <rFont val="Calibri"/>
        <family val="2"/>
        <scheme val="minor"/>
      </rPr>
      <t>Alcohol-Impaired Driving</t>
    </r>
    <r>
      <rPr>
        <sz val="11"/>
        <color theme="1"/>
        <rFont val="Calibri"/>
        <family val="2"/>
        <scheme val="minor"/>
      </rPr>
      <t>. Research Note, DOT DOT HS 812 864, December 2019. Available at: https://crashstats.nhtsa.dot.gov/Api/Public/ViewPublication/812864 (accessed July 13, 2020).</t>
    </r>
  </si>
  <si>
    <t>U.S. Social Security Administration, Table V.A3.--Period Life Expectancy. Available at: https://www.ssa.gov/OACT/TR/2012/lr5a3.html (accessed July 6, 2020).</t>
  </si>
  <si>
    <t>U.S. Social Security Administration, Table V.A4.--Cohort Life Expectancy. Available at: https://www.ssa.gov/OACT/TR/2012/lr5a4.html (accessed July 6, 2020).</t>
  </si>
  <si>
    <r>
      <t xml:space="preserve">U.S. Department of Transportation, National Highway Traffic Safety Administration (NHTSA). </t>
    </r>
    <r>
      <rPr>
        <i/>
        <sz val="10"/>
        <color theme="1"/>
        <rFont val="Calibri"/>
        <family val="2"/>
        <scheme val="minor"/>
      </rPr>
      <t>Motor Vehicle Crash Data Querying and Reporting.</t>
    </r>
    <r>
      <rPr>
        <sz val="10"/>
        <color theme="1"/>
        <rFont val="Calibri"/>
        <family val="2"/>
        <scheme val="minor"/>
      </rPr>
      <t xml:space="preserve"> Persons Involved in Motor Vehicle Crashes. Available at: https://cdan.dot.gov/query (accessed July 10, 2020).</t>
    </r>
  </si>
  <si>
    <r>
      <t xml:space="preserve">U.S. Department of Transportation, National Highway Traffic Safety Administration (NHTSA). </t>
    </r>
    <r>
      <rPr>
        <i/>
        <sz val="10"/>
        <color theme="1"/>
        <rFont val="Calibri"/>
        <family val="2"/>
        <scheme val="minor"/>
      </rPr>
      <t>Motor Vehicle Crash Data Querying and Reporting</t>
    </r>
    <r>
      <rPr>
        <sz val="10"/>
        <color theme="1"/>
        <rFont val="Calibri"/>
        <family val="2"/>
        <scheme val="minor"/>
      </rPr>
      <t>. Drivers Involved in Fatal Motor Vehicle Crashes, by Age and BAC, Available at: https://cdan.dot.gov/query (accessed July 13, 2020).</t>
    </r>
  </si>
  <si>
    <t>Figures shown are life expectancy at the age shown, as reported in Table 1 at [S1].</t>
  </si>
  <si>
    <t>Figures are calculated using method described in [S3]: (1/.408) x (Alcohol-Impaired  Share of Fatal Accidents) / [RR - (Alcohol-Impaired  Share of Fatal Accidents) x (RR = 1)], where .408 is an adjustment factor derived by averaging the adjustment factor (for drivers BAL&lt;0.10%/injury vehicles, divide result by 0.269. For BAL≥0.10%/injury, divide result by 0.546)  recommended  in [S3] to account for underestimation by police of alcohol involvement in accidents; and RR is the relative risk of fatal accident at BAC=&gt;0.08%. Note that lower bound estimates of VMT are higher upper bound estimates since a higher relative of fatal accidents involving alcohol-impaired drivers implies fewer miles need to be driven by alcohol-impaired drivers before incurring a fatal accident.</t>
  </si>
  <si>
    <t>According to NHTSA, a BAC of .08 g/dL or higher indicates alcohol-impaired driving [S9]. Figures derived from NHTSA data in the more detailed age breakdown at [P3]. Totals include drivers under age 16 and those of unknown age.</t>
  </si>
  <si>
    <t>All figures are from Fatality Analysis Reporting System (FARS): 2018 Annual Report File (ARF), as reported at [S9] (2018 is the latest  year available).  NHTSA estimates alcohol involvement when alcohol test results are unknown. Totals include cases in which driver sex was unknown.</t>
  </si>
  <si>
    <t>All figures are for 2018 (latest  year available), as reported at [S10].</t>
  </si>
  <si>
    <t>Involvement rate is per 100,000 licensed drivers. All figures are reported in Table 62 at [S11]. Total column includes drivers of unknown sex.</t>
  </si>
  <si>
    <t>All figures are estimates for 2017 reported in Table 23b at [S7]. Figure shown for age 21-34 was reported for age 20-34. The total number of VMT increased by 0.7% between 2017 and 2018 [S5]. This is nearly identical to the increase in drivers from 2017 to 2018 (0.98%) [S6]. Therefore, age-specific average VMTs were assumed to be the same in 2018.</t>
  </si>
  <si>
    <t>Figures shown are ratios calculated at [S2] using Social Security Administration estimates of period [S12] and cohort [S13] life expectancy at birth and life expectancy at age 65. The ratios are averages of separately computed ratios for males and females. The ratio derived from life expectancy at birth is used for all ages shown except 63, where the ratio derived from life expectancy at age 65 is substituted.</t>
  </si>
  <si>
    <t>Figures shown are calculated as the present value of a discounted stream using 3% discount rate and Lost Cohort Life Expectancy as the period. The Second Panel on Cost-effectiveness in Health and Medicine recommends use of a 3% discount rate [S4]. Empirical work suggests that in forming their risk beliefs the public discounts years of life lost at a rate from 3.3—12.4 percent [S14].</t>
  </si>
  <si>
    <t>All figures shown are model-based relative risks of driver fatalities in single-vehicle crashes and driver involvement in all fatal crashes as a function of driver BAC by gender and age, relative to sober drivers of the same age and gender, as reported in Table 4 at [S15].  There were no statistically significant differences by sex, so the identical relative risks ratios are shown for males and females. In the earlier report which this study replicates, authors note "Drivers killed in single vehicle crashes are  of  particular  interest  for  assessing  the  pure  effect  of  drinking  and  driving  because  in  single  vehicle crashes:  driver  fault  is  not  shared,  crash  configuration  is  less  of  a  factor,  vehicle  occupancy  is  not relevant,  and  the  seating  position  of  the  fatally  injured  occupant  is  fixed.    In  two  vehicle  crashes,  the possibility  that  fault  may  be  split  between  two  drivers,  one  or  both  of  whom  may  have  a  (possibly different) positive BAC, would seem to make it difficult to estimate the pure effect of BAC on crash risk" [S16]. In 2018, alcohol-impaired drivers represented 61% of fatalities in crashes involving an alcohol-impaired driver [S8]; thus, loss of life expectancy among innocent victims of such crashes is 61% smaller than shown.</t>
  </si>
  <si>
    <r>
      <t xml:space="preserve">Arias, Elizabeth, and Jiaquan Xu. United States Life Tables, 2017. </t>
    </r>
    <r>
      <rPr>
        <i/>
        <sz val="10"/>
        <color theme="1"/>
        <rFont val="Calibri"/>
        <family val="2"/>
        <scheme val="minor"/>
      </rPr>
      <t>National Vital Statistics Reports</t>
    </r>
    <r>
      <rPr>
        <sz val="10"/>
        <color theme="1"/>
        <rFont val="Calibri"/>
        <family val="2"/>
        <scheme val="minor"/>
      </rPr>
      <t xml:space="preserve"> 68, no. 7 (June 24, 2019). https://doi.org/10.4135/9781412952484.n432.</t>
    </r>
  </si>
  <si>
    <t>Conover, Christopher J., Lost Life Expectancy and QALYs by Age for first 150,000 U.S. COVID-19 Deaths. Duke University, July 22, 2020.</t>
  </si>
  <si>
    <r>
      <t xml:space="preserve">Miller T, Spicer R, Levy DT, Lestina DC. How Drunk are U.S. Drivers? Measuring the Extent, Risks and Costs of Drunk Driving. </t>
    </r>
    <r>
      <rPr>
        <i/>
        <sz val="11"/>
        <color theme="1"/>
        <rFont val="Calibri"/>
        <family val="2"/>
        <scheme val="minor"/>
      </rPr>
      <t>Annual Proceedings Association for the  Advancement of Automotive Medicine</t>
    </r>
    <r>
      <rPr>
        <sz val="11"/>
        <color theme="1"/>
        <rFont val="Calibri"/>
        <family val="2"/>
        <scheme val="minor"/>
      </rPr>
      <t>. 1998;42:353–67. PMCID: PMC3400188.</t>
    </r>
    <r>
      <rPr>
        <sz val="10"/>
        <color theme="1"/>
        <rFont val="Calibri"/>
        <family val="2"/>
        <scheme val="minor"/>
      </rPr>
      <t xml:space="preserve"> Available at: https://www.ncbi.nlm.nih.gov/pmc/articles/PMC3400188/ (accessed July 3, 2020).</t>
    </r>
  </si>
  <si>
    <r>
      <t xml:space="preserve">U.S. Department of Transportation, Federal Highway Administration (FHA). </t>
    </r>
    <r>
      <rPr>
        <i/>
        <sz val="10"/>
        <color theme="1"/>
        <rFont val="Calibri"/>
        <family val="2"/>
        <scheme val="minor"/>
      </rPr>
      <t>Highway Statistics 2018</t>
    </r>
    <r>
      <rPr>
        <sz val="10"/>
        <color theme="1"/>
        <rFont val="Calibri"/>
        <family val="2"/>
        <scheme val="minor"/>
      </rPr>
      <t>. Available at: https://www.fhwa.dot.gov/policyinformation/statistics/2018/xls/dl220.xls (accessed July 24, 2020).</t>
    </r>
  </si>
  <si>
    <r>
      <t xml:space="preserve">Voas, Robert B et al. Alcohol-related risk of driver fatalities: an update using 2007 data. </t>
    </r>
    <r>
      <rPr>
        <i/>
        <sz val="11"/>
        <color theme="1"/>
        <rFont val="Calibri"/>
        <family val="2"/>
        <scheme val="minor"/>
      </rPr>
      <t>Journal of Studies on Alcohol and Drugs</t>
    </r>
    <r>
      <rPr>
        <sz val="11"/>
        <color theme="1"/>
        <rFont val="Calibri"/>
        <family val="2"/>
        <scheme val="minor"/>
      </rPr>
      <t xml:space="preserve"> vol. 73,3 (2012): 341-50. doi:10.15288/jsad.2012.73.341</t>
    </r>
  </si>
  <si>
    <t>Lost life expectancy from driving 10 miles at BAC=&gt;0.08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</si>
</sst>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_(* #,##0.0_);_(* \(#,##0.0\);_(* &quot;-&quot;??_);_(@_)"/>
    <numFmt numFmtId="165" formatCode="0.0%"/>
    <numFmt numFmtId="166" formatCode="_(* #,##0_);_(* \(#,##0\);_(* &quot;-&quot;??_);_(@_)"/>
    <numFmt numFmtId="167" formatCode="0.0"/>
    <numFmt numFmtId="168" formatCode="_(* #,##0.0000_);_(* \(#,##0.0000\);_(* &quot;-&quot;??_);_(@_)"/>
    <numFmt numFmtId="169" formatCode="0.000"/>
    <numFmt numFmtId="170" formatCode="_(* #,##0.000_);_(* \(#,##0.000\);_(* &quot;-&quot;??_);_(@_)"/>
    <numFmt numFmtId="171" formatCode="_(* #,##0.0000_);_(* \(#,##0.0000\);_(* &quot;-&quot;????_);_(@_)"/>
    <numFmt numFmtId="174" formatCode="0.0000"/>
  </numFmts>
  <fonts count="14"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vertAlign val="subscript"/>
      <sz val="10"/>
      <color theme="0"/>
      <name val="Calibri"/>
      <family val="2"/>
      <scheme val="minor"/>
    </font>
    <font>
      <sz val="10"/>
      <color rgb="FF000000"/>
      <name val="Franklin Gothic Book"/>
      <family val="2"/>
    </font>
    <font>
      <vertAlign val="subscript"/>
      <sz val="10"/>
      <color theme="1"/>
      <name val="Calibri"/>
      <family val="2"/>
      <scheme val="minor"/>
    </font>
    <font>
      <i/>
      <sz val="11"/>
      <color theme="1"/>
      <name val="Calibri"/>
      <family val="2"/>
      <scheme val="minor"/>
    </font>
    <font>
      <i/>
      <sz val="10"/>
      <color theme="1"/>
      <name val="Calibri"/>
      <family val="2"/>
      <scheme val="minor"/>
    </font>
    <font>
      <sz val="16"/>
      <color rgb="FFFF0000"/>
      <name val="Calibri"/>
      <family val="2"/>
      <scheme val="minor"/>
    </font>
    <font>
      <b/>
      <sz val="11"/>
      <color theme="1"/>
      <name val="Calibri"/>
      <family val="2"/>
      <scheme val="minor"/>
    </font>
    <font>
      <vertAlign val="superscript"/>
      <sz val="11"/>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4"/>
        <bgColor indexed="64"/>
      </patternFill>
    </fill>
    <fill>
      <patternFill patternType="solid">
        <fgColor theme="3" tint="0.79998168889431442"/>
        <bgColor indexed="64"/>
      </patternFill>
    </fill>
    <fill>
      <patternFill patternType="solid">
        <fgColor theme="2"/>
        <bgColor theme="2"/>
      </patternFill>
    </fill>
    <fill>
      <patternFill patternType="solid">
        <fgColor rgb="FFFFFF00"/>
        <bgColor indexed="64"/>
      </patternFill>
    </fill>
    <fill>
      <patternFill patternType="solid">
        <fgColor rgb="FF4472C4"/>
        <bgColor indexed="64"/>
      </patternFill>
    </fill>
    <fill>
      <patternFill patternType="solid">
        <fgColor theme="0"/>
        <bgColor indexed="64"/>
      </patternFill>
    </fill>
  </fills>
  <borders count="23">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6" tint="0.59996337778862885"/>
      </left>
      <right/>
      <top style="thin">
        <color indexed="64"/>
      </top>
      <bottom/>
      <diagonal/>
    </border>
    <border>
      <left/>
      <right style="thin">
        <color theme="3"/>
      </right>
      <top style="thin">
        <color theme="6" tint="0.59996337778862885"/>
      </top>
      <bottom style="thin">
        <color theme="6" tint="0.59996337778862885"/>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theme="6" tint="0.59996337778862885"/>
      </left>
      <right style="thin">
        <color theme="3"/>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cellStyleXfs>
  <cellXfs count="449">
    <xf numFmtId="0" fontId="0" fillId="0" borderId="0" xfId="0"/>
    <xf numFmtId="0" fontId="3" fillId="0" borderId="0" xfId="0" applyFont="1" applyAlignment="1">
      <alignment vertical="center"/>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164" fontId="2" fillId="0" borderId="0" xfId="1" applyNumberFormat="1" applyFont="1" applyBorder="1" applyAlignment="1">
      <alignment horizontal="left" vertical="center"/>
    </xf>
    <xf numFmtId="165" fontId="3" fillId="0" borderId="0" xfId="2" applyNumberFormat="1" applyFont="1" applyBorder="1" applyAlignment="1">
      <alignment horizontal="left" vertical="center"/>
    </xf>
    <xf numFmtId="164" fontId="3" fillId="0" borderId="0" xfId="1" applyNumberFormat="1" applyFont="1" applyBorder="1" applyAlignment="1">
      <alignment horizontal="left" vertical="center"/>
    </xf>
    <xf numFmtId="0" fontId="3" fillId="0" borderId="0" xfId="0" applyFont="1" applyAlignment="1">
      <alignment horizontal="left" vertical="center" indent="1"/>
    </xf>
    <xf numFmtId="165" fontId="3" fillId="0" borderId="0" xfId="0" applyNumberFormat="1" applyFont="1" applyAlignment="1">
      <alignment horizontal="left" vertical="center" indent="1"/>
    </xf>
    <xf numFmtId="165" fontId="6" fillId="0" borderId="0" xfId="2" applyNumberFormat="1" applyFont="1" applyBorder="1" applyAlignment="1">
      <alignment vertical="center"/>
    </xf>
    <xf numFmtId="166" fontId="6" fillId="0" borderId="0" xfId="0" applyNumberFormat="1" applyFont="1" applyAlignment="1">
      <alignment vertical="center"/>
    </xf>
    <xf numFmtId="164" fontId="3" fillId="0" borderId="2" xfId="1" applyNumberFormat="1" applyFont="1" applyBorder="1" applyAlignment="1">
      <alignment horizontal="center" vertical="center"/>
    </xf>
    <xf numFmtId="167" fontId="3" fillId="0" borderId="3" xfId="1" applyNumberFormat="1" applyFont="1" applyBorder="1" applyAlignment="1">
      <alignment horizontal="center" vertical="center"/>
    </xf>
    <xf numFmtId="43" fontId="3" fillId="0" borderId="3" xfId="1" applyFont="1" applyBorder="1" applyAlignment="1">
      <alignment horizontal="center" vertical="center"/>
    </xf>
    <xf numFmtId="0" fontId="3" fillId="0" borderId="3" xfId="0" applyFont="1" applyBorder="1" applyAlignment="1">
      <alignment horizontal="center" vertical="center"/>
    </xf>
    <xf numFmtId="9" fontId="3" fillId="0" borderId="3" xfId="2" applyFont="1" applyBorder="1" applyAlignment="1">
      <alignment horizontal="center" vertical="center"/>
    </xf>
    <xf numFmtId="10" fontId="3" fillId="0" borderId="3" xfId="2" applyNumberFormat="1" applyFont="1" applyBorder="1" applyAlignment="1">
      <alignment horizontal="center" vertical="center"/>
    </xf>
    <xf numFmtId="165" fontId="3" fillId="0" borderId="3" xfId="2" applyNumberFormat="1" applyFont="1" applyBorder="1" applyAlignment="1">
      <alignment horizontal="center" vertical="center"/>
    </xf>
    <xf numFmtId="168" fontId="3" fillId="0" borderId="3" xfId="1" applyNumberFormat="1" applyFont="1" applyBorder="1" applyAlignment="1">
      <alignment horizontal="center" vertical="center"/>
    </xf>
    <xf numFmtId="167" fontId="6" fillId="0" borderId="3" xfId="1" applyNumberFormat="1" applyFont="1" applyBorder="1" applyAlignment="1">
      <alignment horizontal="center" vertical="center"/>
    </xf>
    <xf numFmtId="164" fontId="6" fillId="0" borderId="3" xfId="1" applyNumberFormat="1" applyFont="1" applyBorder="1" applyAlignment="1">
      <alignment vertical="center"/>
    </xf>
    <xf numFmtId="165" fontId="6" fillId="0" borderId="3" xfId="2" applyNumberFormat="1" applyFont="1" applyBorder="1" applyAlignment="1">
      <alignment horizontal="center" vertical="center"/>
    </xf>
    <xf numFmtId="1" fontId="6" fillId="0" borderId="3" xfId="1" applyNumberFormat="1" applyFont="1" applyBorder="1" applyAlignment="1">
      <alignment horizontal="center" vertical="center"/>
    </xf>
    <xf numFmtId="1" fontId="6" fillId="0" borderId="9" xfId="1" applyNumberFormat="1" applyFont="1" applyBorder="1" applyAlignment="1">
      <alignment horizontal="center" vertical="center"/>
    </xf>
    <xf numFmtId="164" fontId="3" fillId="0" borderId="7" xfId="1" applyNumberFormat="1" applyFont="1" applyBorder="1" applyAlignment="1">
      <alignment horizontal="center" vertical="center"/>
    </xf>
    <xf numFmtId="167" fontId="3" fillId="0" borderId="8" xfId="1" applyNumberFormat="1" applyFont="1" applyBorder="1" applyAlignment="1">
      <alignment horizontal="center" vertical="center"/>
    </xf>
    <xf numFmtId="43" fontId="3" fillId="0" borderId="8" xfId="1" applyFont="1" applyBorder="1" applyAlignment="1">
      <alignment horizontal="center" vertical="center"/>
    </xf>
    <xf numFmtId="0" fontId="3" fillId="0" borderId="8" xfId="0" applyFont="1" applyBorder="1" applyAlignment="1">
      <alignment horizontal="center" vertical="center"/>
    </xf>
    <xf numFmtId="9" fontId="3" fillId="0" borderId="8" xfId="2" applyFont="1" applyBorder="1" applyAlignment="1">
      <alignment horizontal="center" vertical="center"/>
    </xf>
    <xf numFmtId="10" fontId="3" fillId="0" borderId="8" xfId="2" applyNumberFormat="1" applyFont="1" applyBorder="1" applyAlignment="1">
      <alignment horizontal="center" vertical="center"/>
    </xf>
    <xf numFmtId="165" fontId="3" fillId="0" borderId="8" xfId="2" applyNumberFormat="1" applyFont="1" applyBorder="1" applyAlignment="1">
      <alignment horizontal="center" vertical="center"/>
    </xf>
    <xf numFmtId="168" fontId="3" fillId="0" borderId="8" xfId="1" applyNumberFormat="1" applyFont="1" applyBorder="1" applyAlignment="1">
      <alignment horizontal="center" vertical="center"/>
    </xf>
    <xf numFmtId="167" fontId="6" fillId="0" borderId="8" xfId="1" applyNumberFormat="1" applyFont="1" applyBorder="1" applyAlignment="1">
      <alignment horizontal="center" vertical="center"/>
    </xf>
    <xf numFmtId="164" fontId="6" fillId="0" borderId="8" xfId="1" applyNumberFormat="1" applyFont="1" applyBorder="1" applyAlignment="1">
      <alignment vertical="center"/>
    </xf>
    <xf numFmtId="165" fontId="6" fillId="0" borderId="8" xfId="2" applyNumberFormat="1" applyFont="1" applyBorder="1" applyAlignment="1">
      <alignment horizontal="center" vertical="center"/>
    </xf>
    <xf numFmtId="1" fontId="6" fillId="0" borderId="8" xfId="1" applyNumberFormat="1" applyFont="1" applyBorder="1" applyAlignment="1">
      <alignment horizontal="center" vertical="center"/>
    </xf>
    <xf numFmtId="1" fontId="6" fillId="0" borderId="0" xfId="1" applyNumberFormat="1" applyFont="1" applyAlignment="1">
      <alignment horizontal="center" vertical="center"/>
    </xf>
    <xf numFmtId="164" fontId="3" fillId="0" borderId="10" xfId="1" applyNumberFormat="1" applyFont="1" applyBorder="1" applyAlignment="1">
      <alignment horizontal="center" vertical="center"/>
    </xf>
    <xf numFmtId="167" fontId="3" fillId="0" borderId="11" xfId="1" applyNumberFormat="1" applyFont="1" applyBorder="1" applyAlignment="1">
      <alignment horizontal="center" vertical="center"/>
    </xf>
    <xf numFmtId="43" fontId="3" fillId="0" borderId="11" xfId="1" applyFont="1" applyBorder="1" applyAlignment="1">
      <alignment horizontal="center" vertical="center"/>
    </xf>
    <xf numFmtId="169" fontId="3" fillId="0" borderId="11" xfId="0" applyNumberFormat="1" applyFont="1" applyBorder="1" applyAlignment="1">
      <alignment horizontal="center" vertical="center"/>
    </xf>
    <xf numFmtId="9" fontId="3" fillId="0" borderId="11" xfId="2" applyFont="1" applyBorder="1" applyAlignment="1">
      <alignment horizontal="center" vertical="center"/>
    </xf>
    <xf numFmtId="10" fontId="3" fillId="0" borderId="11" xfId="2" applyNumberFormat="1" applyFont="1" applyBorder="1" applyAlignment="1">
      <alignment horizontal="center" vertical="center"/>
    </xf>
    <xf numFmtId="168" fontId="3" fillId="0" borderId="11" xfId="1" applyNumberFormat="1" applyFont="1" applyBorder="1" applyAlignment="1">
      <alignment horizontal="center" vertical="center"/>
    </xf>
    <xf numFmtId="167" fontId="6" fillId="0" borderId="11" xfId="1" applyNumberFormat="1" applyFont="1" applyBorder="1" applyAlignment="1">
      <alignment horizontal="center" vertical="center"/>
    </xf>
    <xf numFmtId="164" fontId="6" fillId="0" borderId="11" xfId="1" applyNumberFormat="1" applyFont="1" applyBorder="1" applyAlignment="1">
      <alignment vertical="center"/>
    </xf>
    <xf numFmtId="165" fontId="6" fillId="0" borderId="11" xfId="2" applyNumberFormat="1" applyFont="1" applyBorder="1" applyAlignment="1">
      <alignment horizontal="center" vertical="center"/>
    </xf>
    <xf numFmtId="1" fontId="6" fillId="0" borderId="11" xfId="1" applyNumberFormat="1" applyFont="1" applyBorder="1" applyAlignment="1">
      <alignment horizontal="center" vertical="center"/>
    </xf>
    <xf numFmtId="1" fontId="6" fillId="0" borderId="1" xfId="1" applyNumberFormat="1" applyFont="1" applyBorder="1" applyAlignment="1">
      <alignment horizontal="center" vertical="center"/>
    </xf>
    <xf numFmtId="164" fontId="2" fillId="0" borderId="0" xfId="1" applyNumberFormat="1" applyFont="1" applyBorder="1" applyAlignment="1">
      <alignment horizontal="right" vertical="center" indent="2"/>
    </xf>
    <xf numFmtId="165" fontId="3" fillId="0" borderId="0" xfId="2" applyNumberFormat="1" applyFont="1" applyAlignment="1">
      <alignment horizontal="center" vertical="center"/>
    </xf>
    <xf numFmtId="164" fontId="3" fillId="0" borderId="0" xfId="1" applyNumberFormat="1" applyFont="1" applyAlignment="1">
      <alignment horizontal="center" vertical="center"/>
    </xf>
    <xf numFmtId="166" fontId="3" fillId="0" borderId="0" xfId="1" applyNumberFormat="1" applyFont="1" applyAlignment="1">
      <alignment horizontal="center" vertical="center"/>
    </xf>
    <xf numFmtId="9" fontId="3" fillId="0" borderId="0" xfId="2" applyFont="1" applyAlignment="1">
      <alignment horizontal="left" vertical="center" indent="1"/>
    </xf>
    <xf numFmtId="168" fontId="3" fillId="0" borderId="0" xfId="2" applyNumberFormat="1" applyFont="1" applyAlignment="1">
      <alignment horizontal="center" vertical="center"/>
    </xf>
    <xf numFmtId="168" fontId="6" fillId="0" borderId="0" xfId="2" applyNumberFormat="1" applyFont="1" applyAlignment="1">
      <alignment vertical="center"/>
    </xf>
    <xf numFmtId="167" fontId="6" fillId="0" borderId="0" xfId="1" applyNumberFormat="1" applyFont="1" applyAlignment="1">
      <alignment horizontal="center" vertical="center"/>
    </xf>
    <xf numFmtId="166" fontId="6" fillId="0" borderId="0" xfId="1" applyNumberFormat="1" applyFont="1" applyAlignment="1">
      <alignment vertical="center"/>
    </xf>
    <xf numFmtId="165" fontId="6" fillId="0" borderId="0" xfId="2" applyNumberFormat="1" applyFont="1" applyAlignment="1">
      <alignment horizontal="center" vertical="center"/>
    </xf>
    <xf numFmtId="0" fontId="3" fillId="3" borderId="12" xfId="0" applyFont="1" applyFill="1" applyBorder="1" applyAlignment="1">
      <alignment horizontal="center" vertical="center"/>
    </xf>
    <xf numFmtId="43" fontId="3" fillId="3" borderId="12" xfId="1" applyFont="1" applyFill="1" applyBorder="1" applyAlignment="1">
      <alignment horizontal="left" vertical="center" indent="1"/>
    </xf>
    <xf numFmtId="43" fontId="3" fillId="3" borderId="12" xfId="1" applyFont="1" applyFill="1" applyBorder="1" applyAlignment="1">
      <alignment horizontal="center" vertical="center"/>
    </xf>
    <xf numFmtId="43" fontId="3" fillId="3" borderId="12" xfId="0" applyNumberFormat="1" applyFont="1" applyFill="1" applyBorder="1" applyAlignment="1">
      <alignment horizontal="center" vertical="center"/>
    </xf>
    <xf numFmtId="0" fontId="3" fillId="3" borderId="12" xfId="1" applyNumberFormat="1" applyFont="1" applyFill="1" applyBorder="1" applyAlignment="1">
      <alignment horizontal="center" vertical="center"/>
    </xf>
    <xf numFmtId="165" fontId="3" fillId="3" borderId="12" xfId="2" applyNumberFormat="1" applyFont="1" applyFill="1" applyBorder="1" applyAlignment="1">
      <alignment horizontal="center" vertical="center"/>
    </xf>
    <xf numFmtId="166" fontId="6" fillId="3" borderId="12" xfId="0" applyNumberFormat="1" applyFont="1" applyFill="1" applyBorder="1" applyAlignment="1">
      <alignment horizontal="center" vertical="center"/>
    </xf>
    <xf numFmtId="0" fontId="3" fillId="0" borderId="0" xfId="0" applyFont="1" applyAlignment="1">
      <alignment horizontal="left" vertical="center"/>
    </xf>
    <xf numFmtId="43" fontId="3" fillId="0" borderId="0" xfId="1" applyFont="1" applyAlignment="1">
      <alignment horizontal="left" vertical="center" indent="1"/>
    </xf>
    <xf numFmtId="43" fontId="3" fillId="0" borderId="0" xfId="1" applyFont="1" applyAlignment="1">
      <alignment horizontal="center" vertical="center"/>
    </xf>
    <xf numFmtId="0" fontId="3" fillId="0" borderId="0" xfId="1" applyNumberFormat="1" applyFont="1" applyAlignment="1">
      <alignment horizontal="left" vertical="center" indent="1"/>
    </xf>
    <xf numFmtId="0" fontId="6" fillId="0" borderId="0" xfId="0" applyFont="1" applyAlignment="1">
      <alignment vertical="center"/>
    </xf>
    <xf numFmtId="164" fontId="6" fillId="0" borderId="0" xfId="0" applyNumberFormat="1" applyFont="1" applyAlignment="1">
      <alignment vertical="center"/>
    </xf>
    <xf numFmtId="43" fontId="6" fillId="0" borderId="0" xfId="0" applyNumberFormat="1" applyFont="1" applyAlignment="1">
      <alignment vertical="center"/>
    </xf>
    <xf numFmtId="0" fontId="2" fillId="4" borderId="0" xfId="0" applyFont="1" applyFill="1" applyAlignment="1">
      <alignment horizontal="center" vertical="center"/>
    </xf>
    <xf numFmtId="0" fontId="3" fillId="4" borderId="0" xfId="0" applyFont="1" applyFill="1" applyAlignment="1">
      <alignment horizontal="center" vertical="center"/>
    </xf>
    <xf numFmtId="0" fontId="3" fillId="0" borderId="0" xfId="0" applyFont="1" applyAlignment="1">
      <alignment horizontal="center" vertical="top"/>
    </xf>
    <xf numFmtId="0" fontId="3" fillId="0" borderId="0" xfId="0" applyFont="1" applyAlignment="1">
      <alignment horizontal="left" vertical="top"/>
    </xf>
    <xf numFmtId="0" fontId="3" fillId="0" borderId="0" xfId="0" applyFont="1" applyAlignment="1">
      <alignment vertical="top"/>
    </xf>
    <xf numFmtId="0" fontId="2" fillId="4" borderId="0" xfId="0" applyFont="1" applyFill="1" applyAlignment="1">
      <alignment horizontal="left" vertical="center"/>
    </xf>
    <xf numFmtId="0" fontId="2" fillId="0" borderId="0" xfId="0" applyFont="1" applyAlignment="1">
      <alignment horizontal="center" vertical="center"/>
    </xf>
    <xf numFmtId="0" fontId="2" fillId="0" borderId="5" xfId="0" applyFont="1" applyBorder="1" applyAlignment="1">
      <alignment horizontal="left" vertical="center"/>
    </xf>
    <xf numFmtId="0" fontId="2" fillId="0" borderId="5" xfId="0" applyFont="1" applyBorder="1" applyAlignment="1">
      <alignment horizontal="left" vertical="center" indent="1"/>
    </xf>
    <xf numFmtId="0" fontId="3" fillId="0" borderId="5" xfId="0" applyFont="1" applyBorder="1" applyAlignment="1">
      <alignment horizontal="left" vertical="center" indent="1"/>
    </xf>
    <xf numFmtId="0" fontId="2" fillId="0" borderId="5" xfId="0" applyFont="1" applyBorder="1" applyAlignment="1">
      <alignment horizontal="center" vertical="center"/>
    </xf>
    <xf numFmtId="0" fontId="3" fillId="0" borderId="5" xfId="0" applyFont="1" applyBorder="1" applyAlignment="1">
      <alignment horizontal="center" vertical="center" wrapText="1"/>
    </xf>
    <xf numFmtId="0" fontId="2" fillId="0" borderId="0" xfId="0" applyFont="1" applyAlignment="1">
      <alignment horizontal="left" vertical="center" indent="1"/>
    </xf>
    <xf numFmtId="0" fontId="3" fillId="0" borderId="0" xfId="0" applyFont="1" applyAlignment="1">
      <alignment horizontal="center" vertical="center"/>
    </xf>
    <xf numFmtId="0" fontId="3" fillId="0" borderId="0" xfId="0" applyFont="1" applyAlignment="1">
      <alignment horizontal="right" vertical="center" indent="2"/>
    </xf>
    <xf numFmtId="2" fontId="3" fillId="0" borderId="0" xfId="0" applyNumberFormat="1" applyFont="1" applyAlignment="1">
      <alignment horizontal="right" vertical="center" indent="2"/>
    </xf>
    <xf numFmtId="0" fontId="3" fillId="0" borderId="1" xfId="0" applyFont="1" applyBorder="1" applyAlignment="1">
      <alignment horizontal="right" vertical="center" indent="2"/>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0" xfId="0" applyFont="1" applyAlignment="1">
      <alignment horizontal="right" vertical="top" indent="1"/>
    </xf>
    <xf numFmtId="0" fontId="3" fillId="0" borderId="5" xfId="0" applyFont="1" applyBorder="1" applyAlignment="1">
      <alignment horizontal="center" vertical="center"/>
    </xf>
    <xf numFmtId="0" fontId="0" fillId="0" borderId="0" xfId="0" applyAlignment="1">
      <alignment horizontal="left" indent="1"/>
    </xf>
    <xf numFmtId="0" fontId="0" fillId="0" borderId="0" xfId="0" applyAlignment="1">
      <alignment horizontal="right" indent="1"/>
    </xf>
    <xf numFmtId="167" fontId="0" fillId="0" borderId="0" xfId="0" applyNumberFormat="1" applyAlignment="1">
      <alignment horizontal="right" indent="1"/>
    </xf>
    <xf numFmtId="167" fontId="0" fillId="0" borderId="5" xfId="0" applyNumberFormat="1" applyBorder="1" applyAlignment="1">
      <alignment horizontal="center"/>
    </xf>
    <xf numFmtId="0" fontId="0" fillId="0" borderId="5" xfId="0" applyBorder="1"/>
    <xf numFmtId="0" fontId="3" fillId="0" borderId="5" xfId="0" applyFont="1" applyBorder="1" applyAlignment="1">
      <alignment vertical="center"/>
    </xf>
    <xf numFmtId="167" fontId="3" fillId="0" borderId="0" xfId="0" applyNumberFormat="1" applyFont="1" applyAlignment="1">
      <alignment horizontal="right" vertical="top" indent="1"/>
    </xf>
    <xf numFmtId="165" fontId="0" fillId="0" borderId="1" xfId="2" applyNumberFormat="1" applyFont="1" applyBorder="1" applyAlignment="1">
      <alignment horizontal="left" indent="1"/>
    </xf>
    <xf numFmtId="0" fontId="3" fillId="0" borderId="1" xfId="0" applyFont="1" applyBorder="1" applyAlignment="1">
      <alignment horizontal="left" vertical="center"/>
    </xf>
    <xf numFmtId="167" fontId="0" fillId="0" borderId="1" xfId="0" applyNumberFormat="1" applyBorder="1" applyAlignment="1">
      <alignment horizontal="right" indent="1"/>
    </xf>
    <xf numFmtId="0" fontId="0" fillId="0" borderId="1" xfId="0" applyBorder="1"/>
    <xf numFmtId="0" fontId="3" fillId="0" borderId="1" xfId="0" applyFont="1" applyBorder="1" applyAlignment="1">
      <alignment horizontal="left" vertical="center" indent="1"/>
    </xf>
    <xf numFmtId="165" fontId="0" fillId="0" borderId="0" xfId="2" applyNumberFormat="1" applyFont="1" applyAlignment="1">
      <alignment horizontal="left" vertical="top" indent="1"/>
    </xf>
    <xf numFmtId="166" fontId="3" fillId="0" borderId="1" xfId="1" applyNumberFormat="1" applyFont="1" applyBorder="1" applyAlignment="1">
      <alignment horizontal="center" vertical="center"/>
    </xf>
    <xf numFmtId="166" fontId="3" fillId="0" borderId="0" xfId="1" applyNumberFormat="1" applyFont="1" applyBorder="1" applyAlignment="1">
      <alignment horizontal="center" vertical="top"/>
    </xf>
    <xf numFmtId="0" fontId="0" fillId="0" borderId="0" xfId="0" applyAlignment="1">
      <alignment horizontal="left" vertical="top"/>
    </xf>
    <xf numFmtId="0" fontId="0" fillId="0" borderId="0" xfId="0" applyAlignment="1">
      <alignment horizontal="left" vertical="center"/>
    </xf>
    <xf numFmtId="3" fontId="3" fillId="0" borderId="0" xfId="0" applyNumberFormat="1" applyFont="1" applyAlignment="1">
      <alignment horizontal="center" vertical="center"/>
    </xf>
    <xf numFmtId="165" fontId="6" fillId="0" borderId="12" xfId="2" applyNumberFormat="1"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top" wrapText="1"/>
    </xf>
    <xf numFmtId="0" fontId="4" fillId="2" borderId="3" xfId="0" applyFont="1" applyFill="1" applyBorder="1" applyAlignment="1">
      <alignment horizontal="center" vertical="center" wrapText="1"/>
    </xf>
    <xf numFmtId="165" fontId="3" fillId="3" borderId="4" xfId="2"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0" fontId="4" fillId="2" borderId="7" xfId="0" applyFont="1" applyFill="1" applyBorder="1" applyAlignment="1">
      <alignment horizontal="center" vertical="center" wrapText="1"/>
    </xf>
    <xf numFmtId="10" fontId="3" fillId="0" borderId="0" xfId="0" applyNumberFormat="1" applyFont="1" applyAlignment="1">
      <alignment horizontal="left" vertical="center" indent="1"/>
    </xf>
    <xf numFmtId="165" fontId="3" fillId="0" borderId="11" xfId="2" applyNumberFormat="1" applyFont="1" applyBorder="1" applyAlignment="1">
      <alignment horizontal="center" vertical="center"/>
    </xf>
    <xf numFmtId="0" fontId="2" fillId="0" borderId="1" xfId="0" applyFont="1" applyBorder="1" applyAlignment="1">
      <alignment horizontal="center" vertical="center"/>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165" fontId="3" fillId="3" borderId="4" xfId="2" applyNumberFormat="1" applyFont="1" applyFill="1" applyBorder="1" applyAlignment="1">
      <alignment horizontal="center" vertical="center"/>
    </xf>
    <xf numFmtId="165" fontId="3" fillId="3" borderId="5" xfId="2" applyNumberFormat="1" applyFont="1" applyFill="1" applyBorder="1" applyAlignment="1">
      <alignment horizontal="center" vertical="center"/>
    </xf>
    <xf numFmtId="165" fontId="3" fillId="3" borderId="6" xfId="2"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6" fillId="3" borderId="5" xfId="0" applyNumberFormat="1" applyFont="1" applyFill="1" applyBorder="1" applyAlignment="1">
      <alignment horizontal="center" vertical="center"/>
    </xf>
    <xf numFmtId="166" fontId="6" fillId="3" borderId="6" xfId="0" applyNumberFormat="1" applyFont="1" applyFill="1" applyBorder="1" applyAlignment="1">
      <alignment horizontal="center" vertical="center"/>
    </xf>
    <xf numFmtId="0" fontId="3" fillId="0" borderId="0" xfId="0" applyFont="1" applyAlignment="1">
      <alignment horizontal="left" vertical="top" wrapText="1"/>
    </xf>
    <xf numFmtId="0" fontId="3" fillId="0" borderId="9" xfId="1" applyNumberFormat="1" applyFont="1" applyBorder="1" applyAlignment="1">
      <alignment horizontal="left" vertical="top" wrapText="1"/>
    </xf>
    <xf numFmtId="0" fontId="3" fillId="0" borderId="0" xfId="1" applyNumberFormat="1" applyFont="1" applyBorder="1" applyAlignment="1">
      <alignment horizontal="left" vertical="top" wrapText="1"/>
    </xf>
    <xf numFmtId="0" fontId="3" fillId="0" borderId="5" xfId="0" applyFont="1" applyBorder="1" applyAlignment="1">
      <alignment horizontal="center" vertical="center"/>
    </xf>
    <xf numFmtId="0" fontId="0" fillId="0" borderId="5" xfId="0" applyBorder="1" applyAlignment="1">
      <alignment horizontal="center"/>
    </xf>
    <xf numFmtId="166" fontId="3" fillId="0" borderId="13" xfId="1" applyNumberFormat="1" applyFont="1" applyBorder="1" applyAlignment="1">
      <alignment horizontal="right" vertical="center"/>
    </xf>
    <xf numFmtId="166" fontId="3" fillId="0" borderId="9" xfId="1" applyNumberFormat="1" applyFont="1" applyBorder="1" applyAlignment="1">
      <alignment horizontal="right" vertical="center"/>
    </xf>
    <xf numFmtId="166" fontId="3" fillId="0" borderId="0" xfId="1" applyNumberFormat="1" applyFont="1" applyBorder="1" applyAlignment="1">
      <alignment horizontal="center" vertical="center"/>
    </xf>
    <xf numFmtId="49" fontId="3" fillId="0" borderId="9" xfId="0" applyNumberFormat="1" applyFont="1" applyBorder="1" applyAlignment="1">
      <alignment horizontal="left" vertical="top" wrapText="1"/>
    </xf>
    <xf numFmtId="0" fontId="0" fillId="0" borderId="0" xfId="0" applyAlignment="1">
      <alignment horizontal="left" vertical="top" wrapText="1"/>
    </xf>
    <xf numFmtId="0" fontId="10" fillId="0" borderId="0" xfId="0" applyFont="1" applyAlignment="1">
      <alignment horizontal="left" vertical="center" wrapText="1"/>
    </xf>
    <xf numFmtId="166" fontId="3" fillId="0" borderId="10" xfId="1" applyNumberFormat="1" applyFont="1" applyBorder="1" applyAlignment="1">
      <alignment horizontal="center" vertical="center"/>
    </xf>
    <xf numFmtId="166" fontId="3" fillId="0" borderId="7" xfId="1" applyNumberFormat="1" applyFont="1" applyBorder="1" applyAlignment="1">
      <alignment horizontal="center" vertical="center"/>
    </xf>
    <xf numFmtId="166" fontId="3" fillId="0" borderId="2" xfId="1" applyNumberFormat="1" applyFont="1" applyBorder="1" applyAlignment="1">
      <alignment horizontal="right" vertical="center"/>
    </xf>
    <xf numFmtId="165" fontId="0" fillId="0" borderId="10" xfId="2" applyNumberFormat="1" applyFont="1" applyBorder="1" applyAlignment="1">
      <alignment horizontal="left" indent="1"/>
    </xf>
    <xf numFmtId="167" fontId="0" fillId="0" borderId="7" xfId="0" applyNumberFormat="1" applyBorder="1" applyAlignment="1">
      <alignment horizontal="right" indent="1"/>
    </xf>
    <xf numFmtId="167" fontId="0" fillId="0" borderId="2" xfId="0" applyNumberFormat="1" applyBorder="1" applyAlignment="1">
      <alignment horizontal="right" indent="1"/>
    </xf>
    <xf numFmtId="0" fontId="0" fillId="0" borderId="6" xfId="0" applyBorder="1" applyAlignment="1">
      <alignment horizontal="center"/>
    </xf>
    <xf numFmtId="0" fontId="3" fillId="0" borderId="7" xfId="0" applyFont="1" applyBorder="1" applyAlignment="1">
      <alignment horizontal="left" vertical="center" indent="1"/>
    </xf>
    <xf numFmtId="0" fontId="3" fillId="0" borderId="6" xfId="0" applyFont="1" applyBorder="1" applyAlignment="1">
      <alignment horizontal="center" vertical="center"/>
    </xf>
    <xf numFmtId="2" fontId="3" fillId="0" borderId="11" xfId="0" applyNumberFormat="1" applyFont="1" applyBorder="1" applyAlignment="1">
      <alignment horizontal="right" vertical="center" indent="2"/>
    </xf>
    <xf numFmtId="0" fontId="3" fillId="0" borderId="10" xfId="0" applyFont="1" applyBorder="1" applyAlignment="1">
      <alignment horizontal="right" vertical="center" indent="2"/>
    </xf>
    <xf numFmtId="2" fontId="3" fillId="0" borderId="8" xfId="0" applyNumberFormat="1" applyFont="1" applyBorder="1" applyAlignment="1">
      <alignment horizontal="right" vertical="center" indent="2"/>
    </xf>
    <xf numFmtId="0" fontId="3" fillId="0" borderId="7" xfId="0" applyFont="1" applyBorder="1" applyAlignment="1">
      <alignment horizontal="right" vertical="center" indent="2"/>
    </xf>
    <xf numFmtId="0" fontId="3" fillId="0" borderId="12" xfId="0" applyFont="1" applyBorder="1" applyAlignment="1">
      <alignment horizontal="center" vertical="center" wrapText="1"/>
    </xf>
    <xf numFmtId="0" fontId="3" fillId="0" borderId="6" xfId="0" applyFont="1" applyBorder="1" applyAlignment="1">
      <alignment horizontal="center" vertical="center" wrapText="1"/>
    </xf>
    <xf numFmtId="164" fontId="6" fillId="0" borderId="6" xfId="0" applyNumberFormat="1" applyFont="1" applyBorder="1" applyAlignment="1">
      <alignment vertical="center"/>
    </xf>
    <xf numFmtId="170" fontId="6" fillId="0" borderId="6" xfId="0" applyNumberFormat="1" applyFont="1" applyBorder="1" applyAlignment="1">
      <alignment vertical="center"/>
    </xf>
    <xf numFmtId="165" fontId="3" fillId="0" borderId="5" xfId="2" applyNumberFormat="1" applyFont="1" applyBorder="1" applyAlignment="1">
      <alignment horizontal="center" vertical="center"/>
    </xf>
    <xf numFmtId="0" fontId="3" fillId="0" borderId="5" xfId="1" applyNumberFormat="1" applyFont="1" applyBorder="1" applyAlignment="1">
      <alignment horizontal="left" vertical="center" indent="1"/>
    </xf>
    <xf numFmtId="43" fontId="3" fillId="0" borderId="5" xfId="1" applyFont="1" applyBorder="1" applyAlignment="1">
      <alignment horizontal="center" vertical="center"/>
    </xf>
    <xf numFmtId="43" fontId="3" fillId="0" borderId="5" xfId="1" applyFont="1" applyBorder="1" applyAlignment="1">
      <alignment horizontal="left" vertical="center" indent="1"/>
    </xf>
    <xf numFmtId="0" fontId="3" fillId="0" borderId="5" xfId="0" applyFont="1" applyBorder="1" applyAlignment="1">
      <alignment horizontal="left" vertical="center"/>
    </xf>
    <xf numFmtId="171" fontId="6" fillId="0" borderId="0" xfId="0" applyNumberFormat="1" applyFont="1" applyAlignment="1">
      <alignment vertical="center"/>
    </xf>
    <xf numFmtId="166" fontId="6" fillId="0" borderId="14" xfId="0" applyNumberFormat="1" applyFont="1" applyBorder="1" applyAlignment="1">
      <alignment vertical="center"/>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center" indent="1"/>
    </xf>
    <xf numFmtId="0" fontId="4" fillId="6" borderId="6" xfId="0" applyFont="1" applyFill="1" applyBorder="1" applyAlignment="1">
      <alignment horizontal="left" vertical="center" indent="1"/>
    </xf>
    <xf numFmtId="0" fontId="4" fillId="6" borderId="4" xfId="0" applyFont="1" applyFill="1" applyBorder="1" applyAlignment="1">
      <alignment horizontal="center" vertical="center"/>
    </xf>
    <xf numFmtId="0" fontId="4" fillId="6" borderId="15"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17" xfId="0" applyFont="1" applyFill="1" applyBorder="1" applyAlignment="1">
      <alignment horizontal="left" vertical="center" indent="1"/>
    </xf>
    <xf numFmtId="9" fontId="4" fillId="6" borderId="17" xfId="0" applyNumberFormat="1" applyFont="1" applyFill="1" applyBorder="1" applyAlignment="1">
      <alignment horizontal="center" vertical="center"/>
    </xf>
    <xf numFmtId="9" fontId="4" fillId="6" borderId="15" xfId="0" applyNumberFormat="1" applyFont="1" applyFill="1" applyBorder="1" applyAlignment="1">
      <alignment horizontal="center" vertical="center"/>
    </xf>
    <xf numFmtId="9" fontId="4" fillId="6" borderId="17" xfId="0" applyNumberFormat="1" applyFont="1" applyFill="1" applyBorder="1" applyAlignment="1">
      <alignment horizontal="left" vertical="center" indent="1"/>
    </xf>
    <xf numFmtId="9" fontId="4" fillId="6" borderId="18" xfId="0" applyNumberFormat="1" applyFont="1" applyFill="1" applyBorder="1" applyAlignment="1">
      <alignment horizontal="left" vertical="center" indent="1"/>
    </xf>
    <xf numFmtId="0" fontId="3" fillId="0" borderId="7" xfId="0" quotePrefix="1" applyFont="1" applyBorder="1" applyAlignment="1">
      <alignment horizontal="center" vertical="center"/>
    </xf>
    <xf numFmtId="166" fontId="3" fillId="0" borderId="8" xfId="1" applyNumberFormat="1" applyFont="1" applyBorder="1" applyAlignment="1">
      <alignment horizontal="center" vertical="center"/>
    </xf>
    <xf numFmtId="167" fontId="3" fillId="0" borderId="8" xfId="0" applyNumberFormat="1" applyFont="1" applyBorder="1" applyAlignment="1">
      <alignment horizontal="center" vertical="center"/>
    </xf>
    <xf numFmtId="167" fontId="3" fillId="0" borderId="7" xfId="1" applyNumberFormat="1" applyFont="1" applyBorder="1" applyAlignment="1">
      <alignment horizontal="center" vertical="center"/>
    </xf>
    <xf numFmtId="169" fontId="3" fillId="0" borderId="8" xfId="0" applyNumberFormat="1" applyFont="1" applyBorder="1" applyAlignment="1">
      <alignment horizontal="center" vertical="center"/>
    </xf>
    <xf numFmtId="167" fontId="3" fillId="0" borderId="0" xfId="0" applyNumberFormat="1" applyFont="1" applyAlignment="1">
      <alignment horizontal="center" vertical="center"/>
    </xf>
    <xf numFmtId="16" fontId="3" fillId="0" borderId="7" xfId="0" quotePrefix="1" applyNumberFormat="1" applyFont="1" applyBorder="1" applyAlignment="1">
      <alignment horizontal="center" vertical="center"/>
    </xf>
    <xf numFmtId="0" fontId="3" fillId="0" borderId="7" xfId="0" applyFont="1" applyBorder="1" applyAlignment="1">
      <alignment horizontal="center" vertical="center"/>
    </xf>
    <xf numFmtId="166" fontId="3" fillId="0" borderId="8" xfId="1" applyNumberFormat="1" applyFont="1" applyBorder="1" applyAlignment="1">
      <alignment horizontal="right" vertical="center"/>
    </xf>
    <xf numFmtId="167" fontId="3" fillId="0" borderId="7" xfId="0" applyNumberFormat="1" applyFont="1" applyBorder="1" applyAlignment="1">
      <alignment horizontal="center" vertical="center"/>
    </xf>
    <xf numFmtId="0" fontId="3" fillId="3" borderId="6" xfId="0" applyFont="1" applyFill="1" applyBorder="1" applyAlignment="1">
      <alignment horizontal="center" vertical="center"/>
    </xf>
    <xf numFmtId="167" fontId="3" fillId="3" borderId="12" xfId="0" applyNumberFormat="1" applyFont="1" applyFill="1" applyBorder="1" applyAlignment="1">
      <alignment horizontal="center" vertical="center"/>
    </xf>
    <xf numFmtId="167" fontId="3" fillId="3" borderId="5" xfId="0" applyNumberFormat="1" applyFont="1" applyFill="1" applyBorder="1" applyAlignment="1">
      <alignment horizontal="center" vertical="center"/>
    </xf>
    <xf numFmtId="167" fontId="3" fillId="3" borderId="6" xfId="0" applyNumberFormat="1" applyFont="1" applyFill="1" applyBorder="1" applyAlignment="1">
      <alignment horizontal="center" vertical="center"/>
    </xf>
    <xf numFmtId="167" fontId="3" fillId="3" borderId="4" xfId="0" applyNumberFormat="1" applyFont="1" applyFill="1" applyBorder="1" applyAlignment="1">
      <alignment horizontal="center" vertical="center"/>
    </xf>
    <xf numFmtId="0" fontId="3" fillId="0" borderId="6" xfId="0" applyFont="1" applyBorder="1" applyAlignment="1">
      <alignment horizontal="left" vertical="center" indent="1"/>
    </xf>
    <xf numFmtId="0" fontId="0" fillId="0" borderId="7" xfId="0" applyBorder="1"/>
    <xf numFmtId="169" fontId="0" fillId="0" borderId="0" xfId="0" applyNumberFormat="1" applyAlignment="1">
      <alignment horizontal="right" indent="2"/>
    </xf>
    <xf numFmtId="167" fontId="0" fillId="0" borderId="0" xfId="0" applyNumberFormat="1" applyAlignment="1">
      <alignment horizontal="right" indent="2"/>
    </xf>
    <xf numFmtId="0" fontId="0" fillId="0" borderId="6" xfId="0" applyBorder="1" applyAlignment="1">
      <alignment horizontal="center" vertical="center"/>
    </xf>
    <xf numFmtId="167" fontId="0" fillId="0" borderId="5" xfId="0" applyNumberForma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left" vertical="center" indent="1"/>
    </xf>
    <xf numFmtId="0" fontId="3" fillId="0" borderId="4"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left" vertical="center" indent="1"/>
    </xf>
    <xf numFmtId="0" fontId="3" fillId="0" borderId="12" xfId="0" applyFont="1" applyBorder="1" applyAlignment="1">
      <alignment horizontal="center" vertical="center"/>
    </xf>
    <xf numFmtId="0" fontId="3" fillId="0" borderId="10" xfId="0" applyFont="1" applyBorder="1" applyAlignment="1">
      <alignment horizontal="center" vertical="center"/>
    </xf>
    <xf numFmtId="0" fontId="3" fillId="0" borderId="6" xfId="0" applyFont="1" applyBorder="1" applyAlignment="1">
      <alignment horizontal="center" vertical="center"/>
    </xf>
    <xf numFmtId="0" fontId="3" fillId="0" borderId="20" xfId="0" applyFont="1" applyBorder="1" applyAlignment="1">
      <alignment horizontal="center" vertical="center"/>
    </xf>
    <xf numFmtId="169" fontId="3" fillId="0" borderId="7" xfId="0" applyNumberFormat="1" applyFont="1" applyBorder="1" applyAlignment="1">
      <alignment horizontal="center" vertical="center"/>
    </xf>
    <xf numFmtId="0" fontId="3" fillId="0" borderId="1" xfId="0" applyFont="1" applyBorder="1" applyAlignment="1">
      <alignment horizontal="center" vertical="center"/>
    </xf>
    <xf numFmtId="0" fontId="3" fillId="0" borderId="10" xfId="0" applyFont="1" applyBorder="1" applyAlignment="1">
      <alignment horizontal="center" vertical="center"/>
    </xf>
    <xf numFmtId="169" fontId="3" fillId="0" borderId="4" xfId="0" applyNumberFormat="1" applyFont="1" applyBorder="1" applyAlignment="1">
      <alignment horizontal="center" vertical="center"/>
    </xf>
    <xf numFmtId="169" fontId="3" fillId="0" borderId="6" xfId="0" applyNumberFormat="1" applyFont="1" applyBorder="1" applyAlignment="1">
      <alignment horizontal="center" vertical="center"/>
    </xf>
    <xf numFmtId="169" fontId="3" fillId="0" borderId="5" xfId="0" applyNumberFormat="1" applyFont="1" applyBorder="1" applyAlignment="1">
      <alignment horizontal="center" vertical="center"/>
    </xf>
    <xf numFmtId="0" fontId="3" fillId="0" borderId="1" xfId="0" applyFont="1" applyBorder="1" applyAlignment="1">
      <alignment horizontal="center" vertical="top"/>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2" fillId="0" borderId="10" xfId="0" applyFont="1" applyBorder="1" applyAlignment="1">
      <alignment horizontal="center" vertical="center"/>
    </xf>
    <xf numFmtId="0" fontId="0" fillId="0" borderId="12" xfId="0" applyBorder="1" applyAlignment="1">
      <alignment horizontal="center"/>
    </xf>
    <xf numFmtId="0" fontId="0" fillId="0" borderId="10" xfId="0" applyBorder="1" applyAlignment="1">
      <alignment horizontal="right"/>
    </xf>
    <xf numFmtId="0" fontId="0" fillId="0" borderId="20" xfId="0" applyBorder="1" applyAlignment="1">
      <alignment horizontal="center"/>
    </xf>
    <xf numFmtId="0" fontId="0" fillId="0" borderId="1" xfId="0" applyBorder="1" applyAlignment="1">
      <alignment horizontal="right"/>
    </xf>
    <xf numFmtId="0" fontId="0" fillId="0" borderId="7" xfId="0" quotePrefix="1" applyBorder="1" applyAlignment="1">
      <alignment horizontal="center"/>
    </xf>
    <xf numFmtId="166" fontId="0" fillId="0" borderId="8" xfId="1" applyNumberFormat="1" applyFont="1" applyBorder="1" applyAlignment="1">
      <alignment horizontal="right"/>
    </xf>
    <xf numFmtId="0" fontId="0" fillId="0" borderId="7" xfId="0" applyBorder="1" applyAlignment="1">
      <alignment horizontal="center"/>
    </xf>
    <xf numFmtId="166" fontId="3" fillId="0" borderId="8" xfId="0" applyNumberFormat="1" applyFont="1" applyBorder="1" applyAlignment="1">
      <alignment horizontal="left" vertical="center" indent="1"/>
    </xf>
    <xf numFmtId="169" fontId="0" fillId="0" borderId="7" xfId="0" applyNumberFormat="1" applyBorder="1" applyAlignment="1">
      <alignment horizontal="center"/>
    </xf>
    <xf numFmtId="0" fontId="0" fillId="0" borderId="0" xfId="0" applyAlignment="1">
      <alignment horizontal="center"/>
    </xf>
    <xf numFmtId="0" fontId="0" fillId="0" borderId="10" xfId="0" applyBorder="1" applyAlignment="1">
      <alignment horizontal="center"/>
    </xf>
    <xf numFmtId="166" fontId="0" fillId="0" borderId="11" xfId="1" applyNumberFormat="1" applyFont="1" applyBorder="1" applyAlignment="1">
      <alignment horizontal="right"/>
    </xf>
    <xf numFmtId="169" fontId="3" fillId="0" borderId="10" xfId="0" applyNumberFormat="1" applyFont="1" applyBorder="1" applyAlignment="1">
      <alignment horizontal="center" vertical="center"/>
    </xf>
    <xf numFmtId="169" fontId="0" fillId="0" borderId="10" xfId="0" applyNumberFormat="1" applyBorder="1" applyAlignment="1">
      <alignment horizontal="center"/>
    </xf>
    <xf numFmtId="166" fontId="0" fillId="0" borderId="20" xfId="1" applyNumberFormat="1" applyFont="1" applyBorder="1" applyAlignment="1">
      <alignment horizontal="right"/>
    </xf>
    <xf numFmtId="169" fontId="3" fillId="0" borderId="1" xfId="0" applyNumberFormat="1" applyFont="1" applyBorder="1" applyAlignment="1">
      <alignment horizontal="center" vertical="center"/>
    </xf>
    <xf numFmtId="167" fontId="0" fillId="0" borderId="12" xfId="0" applyNumberFormat="1" applyBorder="1" applyAlignment="1">
      <alignment horizontal="center" vertical="center"/>
    </xf>
    <xf numFmtId="167" fontId="0" fillId="0" borderId="6" xfId="0" applyNumberFormat="1" applyBorder="1" applyAlignment="1">
      <alignment horizontal="center" vertical="center"/>
    </xf>
    <xf numFmtId="167" fontId="0" fillId="0" borderId="4" xfId="0" applyNumberFormat="1" applyBorder="1" applyAlignment="1">
      <alignment horizontal="center" vertical="center"/>
    </xf>
    <xf numFmtId="167" fontId="0" fillId="0" borderId="5" xfId="0" applyNumberFormat="1" applyBorder="1" applyAlignment="1">
      <alignment horizontal="center" vertical="center"/>
    </xf>
    <xf numFmtId="0" fontId="3" fillId="0" borderId="2" xfId="0" quotePrefix="1" applyFont="1" applyBorder="1" applyAlignment="1">
      <alignment horizontal="center" vertical="center"/>
    </xf>
    <xf numFmtId="166" fontId="0" fillId="0" borderId="0" xfId="1" applyNumberFormat="1" applyFont="1" applyAlignment="1">
      <alignment horizontal="right"/>
    </xf>
    <xf numFmtId="169" fontId="3" fillId="0" borderId="0" xfId="0" applyNumberFormat="1" applyFont="1" applyAlignment="1">
      <alignment horizontal="center" vertical="center"/>
    </xf>
    <xf numFmtId="166" fontId="0" fillId="0" borderId="2" xfId="1" applyNumberFormat="1" applyFont="1" applyBorder="1" applyAlignment="1">
      <alignment horizontal="right"/>
    </xf>
    <xf numFmtId="169" fontId="0" fillId="0" borderId="3" xfId="0" applyNumberFormat="1" applyBorder="1" applyAlignment="1">
      <alignment horizontal="center"/>
    </xf>
    <xf numFmtId="0" fontId="3" fillId="0" borderId="3" xfId="0" applyFont="1" applyBorder="1" applyAlignment="1">
      <alignment horizontal="left" vertical="center" indent="1"/>
    </xf>
    <xf numFmtId="169" fontId="0" fillId="0" borderId="0" xfId="0" applyNumberFormat="1" applyAlignment="1">
      <alignment horizontal="center"/>
    </xf>
    <xf numFmtId="166" fontId="0" fillId="0" borderId="7" xfId="1" applyNumberFormat="1" applyFont="1" applyBorder="1" applyAlignment="1">
      <alignment horizontal="right"/>
    </xf>
    <xf numFmtId="169" fontId="0" fillId="0" borderId="8" xfId="0" applyNumberFormat="1" applyBorder="1" applyAlignment="1">
      <alignment horizontal="center"/>
    </xf>
    <xf numFmtId="0" fontId="3" fillId="0" borderId="8" xfId="0" applyFont="1" applyBorder="1" applyAlignment="1">
      <alignment horizontal="left" vertical="center" indent="1"/>
    </xf>
    <xf numFmtId="167" fontId="0" fillId="0" borderId="4" xfId="0" applyNumberFormat="1" applyBorder="1" applyAlignment="1">
      <alignment horizontal="center" vertical="center"/>
    </xf>
    <xf numFmtId="167" fontId="3" fillId="0" borderId="0" xfId="0" applyNumberFormat="1" applyFont="1" applyAlignment="1">
      <alignment horizontal="center" vertical="top"/>
    </xf>
    <xf numFmtId="0" fontId="0" fillId="0" borderId="0" xfId="1" applyNumberFormat="1" applyFont="1" applyBorder="1" applyAlignment="1">
      <alignment horizontal="left" vertical="top" wrapText="1"/>
    </xf>
    <xf numFmtId="0" fontId="0" fillId="0" borderId="0" xfId="0" applyAlignment="1">
      <alignment horizontal="left" vertical="center" indent="2"/>
    </xf>
    <xf numFmtId="0" fontId="3" fillId="0" borderId="0" xfId="0" applyFont="1" applyAlignment="1">
      <alignment horizontal="right" vertical="center" indent="1"/>
    </xf>
    <xf numFmtId="0" fontId="2" fillId="0" borderId="0" xfId="0" applyFont="1" applyBorder="1" applyAlignment="1">
      <alignment horizontal="left" vertical="center" indent="1"/>
    </xf>
    <xf numFmtId="0" fontId="3" fillId="0" borderId="0" xfId="0" applyFont="1" applyBorder="1" applyAlignment="1">
      <alignment horizontal="left" vertical="center" indent="1"/>
    </xf>
    <xf numFmtId="0" fontId="3" fillId="0" borderId="0" xfId="0" applyFont="1" applyBorder="1" applyAlignment="1">
      <alignment horizontal="left" vertical="center"/>
    </xf>
    <xf numFmtId="167" fontId="3" fillId="0" borderId="5" xfId="0" applyNumberFormat="1" applyFont="1" applyBorder="1" applyAlignment="1">
      <alignment horizontal="center" vertical="center"/>
    </xf>
    <xf numFmtId="167" fontId="3" fillId="0" borderId="0" xfId="0" applyNumberFormat="1" applyFont="1" applyBorder="1" applyAlignment="1">
      <alignment horizontal="center" vertical="top"/>
    </xf>
    <xf numFmtId="0" fontId="3" fillId="0" borderId="0" xfId="0" applyFont="1" applyBorder="1" applyAlignment="1">
      <alignment horizontal="left" vertical="top"/>
    </xf>
    <xf numFmtId="1" fontId="6" fillId="0" borderId="6" xfId="0" applyNumberFormat="1" applyFont="1" applyBorder="1" applyAlignment="1">
      <alignment horizontal="center" vertical="center"/>
    </xf>
    <xf numFmtId="1" fontId="6" fillId="0" borderId="5" xfId="0" applyNumberFormat="1" applyFont="1" applyBorder="1" applyAlignment="1">
      <alignment horizontal="center" vertical="center"/>
    </xf>
    <xf numFmtId="0" fontId="3" fillId="0" borderId="0" xfId="0" applyFont="1" applyBorder="1" applyAlignment="1">
      <alignment vertical="center"/>
    </xf>
    <xf numFmtId="49" fontId="0" fillId="0" borderId="0" xfId="0" applyNumberFormat="1"/>
    <xf numFmtId="0" fontId="0" fillId="5" borderId="0" xfId="0" applyFill="1"/>
    <xf numFmtId="0" fontId="0" fillId="5" borderId="0" xfId="0" applyFill="1" applyAlignment="1">
      <alignment horizontal="center"/>
    </xf>
    <xf numFmtId="164" fontId="3" fillId="5" borderId="0" xfId="1" applyNumberFormat="1" applyFont="1" applyFill="1" applyBorder="1" applyAlignment="1">
      <alignment vertical="center"/>
    </xf>
    <xf numFmtId="166" fontId="3" fillId="5" borderId="0" xfId="1" applyNumberFormat="1" applyFont="1" applyFill="1" applyBorder="1" applyAlignment="1">
      <alignment vertical="center"/>
    </xf>
    <xf numFmtId="166" fontId="0" fillId="0" borderId="0" xfId="0" applyNumberFormat="1"/>
    <xf numFmtId="164" fontId="3" fillId="5" borderId="0" xfId="1" applyNumberFormat="1" applyFont="1" applyFill="1" applyBorder="1" applyAlignment="1">
      <alignment horizontal="left" vertical="center"/>
    </xf>
    <xf numFmtId="166" fontId="3" fillId="5" borderId="0" xfId="1" applyNumberFormat="1" applyFont="1" applyFill="1" applyBorder="1" applyAlignment="1">
      <alignment horizontal="left" vertical="center"/>
    </xf>
    <xf numFmtId="164" fontId="3" fillId="5" borderId="0" xfId="1" applyNumberFormat="1" applyFont="1" applyFill="1" applyBorder="1" applyAlignment="1">
      <alignment horizontal="left" vertical="center" indent="1"/>
    </xf>
    <xf numFmtId="49" fontId="13" fillId="0" borderId="0" xfId="3" applyNumberFormat="1"/>
    <xf numFmtId="0" fontId="0" fillId="0" borderId="0" xfId="0" applyAlignment="1">
      <alignment horizontal="left" wrapText="1"/>
    </xf>
    <xf numFmtId="3" fontId="0" fillId="0" borderId="0" xfId="0" applyNumberFormat="1"/>
    <xf numFmtId="167" fontId="6" fillId="0" borderId="0" xfId="2" applyNumberFormat="1" applyFont="1" applyBorder="1" applyAlignment="1">
      <alignment horizontal="center" vertical="center"/>
    </xf>
    <xf numFmtId="165" fontId="3" fillId="0" borderId="3" xfId="0" applyNumberFormat="1" applyFont="1" applyBorder="1" applyAlignment="1">
      <alignment horizontal="right" vertical="center"/>
    </xf>
    <xf numFmtId="165" fontId="3" fillId="0" borderId="6" xfId="0" applyNumberFormat="1" applyFont="1" applyBorder="1" applyAlignment="1">
      <alignment horizontal="right" vertical="center"/>
    </xf>
    <xf numFmtId="174" fontId="3" fillId="0" borderId="3" xfId="1" applyNumberFormat="1" applyFont="1" applyBorder="1" applyAlignment="1">
      <alignment horizontal="center" vertical="center"/>
    </xf>
    <xf numFmtId="174" fontId="3" fillId="0" borderId="8" xfId="1" applyNumberFormat="1" applyFont="1" applyBorder="1" applyAlignment="1">
      <alignment horizontal="center" vertical="center"/>
    </xf>
    <xf numFmtId="174" fontId="3" fillId="0" borderId="11" xfId="1" applyNumberFormat="1" applyFont="1" applyBorder="1" applyAlignment="1">
      <alignment horizontal="center" vertical="center"/>
    </xf>
    <xf numFmtId="174" fontId="3" fillId="0" borderId="0" xfId="2" applyNumberFormat="1" applyFont="1" applyBorder="1" applyAlignment="1">
      <alignment horizontal="center" vertical="center"/>
    </xf>
    <xf numFmtId="174" fontId="3" fillId="0" borderId="0" xfId="2" applyNumberFormat="1" applyFont="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horizontal="left" vertical="center" indent="1"/>
    </xf>
    <xf numFmtId="166" fontId="3" fillId="0" borderId="9" xfId="1" applyNumberFormat="1" applyFont="1" applyBorder="1" applyAlignment="1">
      <alignment horizontal="center" vertical="center"/>
    </xf>
    <xf numFmtId="166" fontId="3" fillId="0" borderId="2" xfId="1" applyNumberFormat="1" applyFont="1" applyBorder="1" applyAlignment="1">
      <alignment horizontal="center" vertical="center"/>
    </xf>
    <xf numFmtId="49" fontId="3" fillId="0" borderId="0" xfId="0" applyNumberFormat="1" applyFont="1" applyBorder="1" applyAlignment="1">
      <alignment horizontal="left" vertical="top" wrapText="1"/>
    </xf>
    <xf numFmtId="0" fontId="3" fillId="0" borderId="0" xfId="0" applyFont="1" applyBorder="1" applyAlignment="1">
      <alignment horizontal="center" vertical="center"/>
    </xf>
    <xf numFmtId="43" fontId="3" fillId="0" borderId="0" xfId="0" applyNumberFormat="1" applyFont="1" applyAlignment="1">
      <alignment vertical="center"/>
    </xf>
    <xf numFmtId="166" fontId="3" fillId="0" borderId="0" xfId="0" applyNumberFormat="1" applyFont="1" applyAlignment="1">
      <alignment vertical="center"/>
    </xf>
    <xf numFmtId="167" fontId="6" fillId="0" borderId="19" xfId="1" applyNumberFormat="1" applyFont="1" applyBorder="1" applyAlignment="1">
      <alignment horizontal="center" vertical="center"/>
    </xf>
    <xf numFmtId="171" fontId="6" fillId="0" borderId="0" xfId="0" applyNumberFormat="1" applyFont="1" applyBorder="1" applyAlignment="1">
      <alignment vertical="center"/>
    </xf>
    <xf numFmtId="0" fontId="3" fillId="0" borderId="0" xfId="0" applyFont="1" applyBorder="1" applyAlignment="1">
      <alignment vertical="top"/>
    </xf>
    <xf numFmtId="166" fontId="6" fillId="0" borderId="19" xfId="1" applyNumberFormat="1" applyFont="1" applyBorder="1" applyAlignment="1">
      <alignment horizontal="center" vertical="center"/>
    </xf>
    <xf numFmtId="166" fontId="6" fillId="0" borderId="21" xfId="1" applyNumberFormat="1" applyFont="1" applyBorder="1" applyAlignment="1">
      <alignment horizontal="center" vertical="center"/>
    </xf>
    <xf numFmtId="166" fontId="6" fillId="0" borderId="20" xfId="1" applyNumberFormat="1" applyFont="1" applyBorder="1" applyAlignment="1">
      <alignment horizontal="center" vertical="center"/>
    </xf>
    <xf numFmtId="167" fontId="6" fillId="0" borderId="9" xfId="1" applyNumberFormat="1" applyFont="1" applyBorder="1" applyAlignment="1">
      <alignment horizontal="center" vertical="center"/>
    </xf>
    <xf numFmtId="167" fontId="6" fillId="0" borderId="1" xfId="1" applyNumberFormat="1" applyFont="1" applyBorder="1" applyAlignment="1">
      <alignment horizontal="center" vertical="center"/>
    </xf>
    <xf numFmtId="166" fontId="6" fillId="0" borderId="3" xfId="1" applyNumberFormat="1" applyFont="1" applyBorder="1" applyAlignment="1">
      <alignment horizontal="center" vertical="center"/>
    </xf>
    <xf numFmtId="166" fontId="6" fillId="0" borderId="8" xfId="1" applyNumberFormat="1" applyFont="1" applyBorder="1" applyAlignment="1">
      <alignment horizontal="center" vertical="center"/>
    </xf>
    <xf numFmtId="166" fontId="6" fillId="0" borderId="11" xfId="1" applyNumberFormat="1" applyFont="1" applyBorder="1" applyAlignment="1">
      <alignment horizontal="center" vertical="center"/>
    </xf>
    <xf numFmtId="0" fontId="2" fillId="0" borderId="7" xfId="0" applyFont="1" applyBorder="1" applyAlignment="1">
      <alignment horizontal="left" vertical="center"/>
    </xf>
    <xf numFmtId="164" fontId="3" fillId="0" borderId="8" xfId="0" applyNumberFormat="1" applyFont="1" applyBorder="1" applyAlignment="1">
      <alignment vertical="center"/>
    </xf>
    <xf numFmtId="166" fontId="3" fillId="0" borderId="8" xfId="0" applyNumberFormat="1" applyFont="1" applyBorder="1" applyAlignment="1">
      <alignment vertical="center"/>
    </xf>
    <xf numFmtId="166" fontId="3" fillId="0" borderId="7" xfId="0" applyNumberFormat="1" applyFont="1" applyBorder="1" applyAlignment="1">
      <alignment horizontal="left" vertical="center" indent="1"/>
    </xf>
    <xf numFmtId="1" fontId="3" fillId="0" borderId="8" xfId="0" applyNumberFormat="1" applyFont="1" applyBorder="1" applyAlignment="1">
      <alignment horizontal="center" vertical="center"/>
    </xf>
    <xf numFmtId="1" fontId="3" fillId="0" borderId="21" xfId="0" applyNumberFormat="1" applyFont="1" applyBorder="1" applyAlignment="1">
      <alignment horizontal="center" vertical="center"/>
    </xf>
    <xf numFmtId="166" fontId="3" fillId="0" borderId="0" xfId="1" applyNumberFormat="1" applyFont="1" applyAlignment="1">
      <alignment vertical="center"/>
    </xf>
    <xf numFmtId="164" fontId="3" fillId="0" borderId="7" xfId="1" quotePrefix="1" applyNumberFormat="1" applyFont="1" applyBorder="1" applyAlignment="1">
      <alignment horizontal="left" vertical="center" indent="1"/>
    </xf>
    <xf numFmtId="166" fontId="3" fillId="0" borderId="8" xfId="1" applyNumberFormat="1" applyFont="1" applyBorder="1" applyAlignment="1">
      <alignment horizontal="left" vertical="center" indent="1"/>
    </xf>
    <xf numFmtId="166" fontId="3" fillId="0" borderId="7" xfId="1" applyNumberFormat="1" applyFont="1" applyBorder="1" applyAlignment="1">
      <alignment horizontal="left" vertical="center" indent="1"/>
    </xf>
    <xf numFmtId="166" fontId="3" fillId="0" borderId="8" xfId="0" applyNumberFormat="1" applyFont="1" applyBorder="1" applyAlignment="1">
      <alignment horizontal="center" vertical="center"/>
    </xf>
    <xf numFmtId="164" fontId="3" fillId="0" borderId="7" xfId="1" applyNumberFormat="1" applyFont="1" applyBorder="1" applyAlignment="1">
      <alignment horizontal="left" vertical="center" indent="1"/>
    </xf>
    <xf numFmtId="0" fontId="3" fillId="3" borderId="10" xfId="0" applyFont="1" applyFill="1" applyBorder="1" applyAlignment="1">
      <alignment horizontal="center" vertical="center"/>
    </xf>
    <xf numFmtId="43" fontId="3" fillId="3" borderId="11" xfId="0" applyNumberFormat="1" applyFont="1" applyFill="1" applyBorder="1" applyAlignment="1">
      <alignment horizontal="center" vertical="center"/>
    </xf>
    <xf numFmtId="43" fontId="3" fillId="3" borderId="20" xfId="0" applyNumberFormat="1" applyFont="1" applyFill="1" applyBorder="1" applyAlignment="1">
      <alignment horizontal="center" vertical="center"/>
    </xf>
    <xf numFmtId="43" fontId="3" fillId="3" borderId="1" xfId="0" applyNumberFormat="1" applyFont="1" applyFill="1" applyBorder="1" applyAlignment="1">
      <alignment horizontal="center" vertical="center"/>
    </xf>
    <xf numFmtId="43" fontId="3" fillId="3" borderId="10" xfId="0" applyNumberFormat="1" applyFont="1" applyFill="1" applyBorder="1" applyAlignment="1">
      <alignment horizontal="center" vertical="center"/>
    </xf>
    <xf numFmtId="165" fontId="3" fillId="3" borderId="11" xfId="2" applyNumberFormat="1" applyFont="1" applyFill="1" applyBorder="1" applyAlignment="1">
      <alignment horizontal="center" vertical="center"/>
    </xf>
    <xf numFmtId="165" fontId="3" fillId="3" borderId="20" xfId="2" applyNumberFormat="1" applyFont="1" applyFill="1" applyBorder="1" applyAlignment="1">
      <alignment horizontal="center" vertical="center"/>
    </xf>
    <xf numFmtId="165" fontId="3" fillId="3" borderId="1" xfId="2" applyNumberFormat="1" applyFont="1" applyFill="1" applyBorder="1" applyAlignment="1">
      <alignment horizontal="center" vertical="center"/>
    </xf>
    <xf numFmtId="43" fontId="3" fillId="0" borderId="0" xfId="0" applyNumberFormat="1" applyFont="1" applyAlignment="1">
      <alignment horizontal="left" vertical="center" indent="1"/>
    </xf>
    <xf numFmtId="166" fontId="3" fillId="0" borderId="0" xfId="1" applyNumberFormat="1" applyFont="1" applyAlignment="1">
      <alignment horizontal="left" vertical="center" indent="1"/>
    </xf>
    <xf numFmtId="43" fontId="3" fillId="0" borderId="0" xfId="0" applyNumberFormat="1" applyFont="1" applyAlignment="1">
      <alignment horizontal="center" vertical="top"/>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 xfId="0" applyFont="1" applyBorder="1" applyAlignment="1">
      <alignment horizontal="center" vertical="center" wrapText="1"/>
    </xf>
    <xf numFmtId="2" fontId="3" fillId="0" borderId="12" xfId="0" applyNumberFormat="1" applyFont="1" applyBorder="1" applyAlignment="1">
      <alignment horizontal="right" vertical="center" indent="1"/>
    </xf>
    <xf numFmtId="0" fontId="3" fillId="0" borderId="10" xfId="0" applyFont="1" applyBorder="1" applyAlignment="1">
      <alignment horizontal="right" vertical="center" wrapText="1" indent="1"/>
    </xf>
    <xf numFmtId="166" fontId="3" fillId="0" borderId="8" xfId="1" applyNumberFormat="1" applyFont="1" applyBorder="1" applyAlignment="1">
      <alignment horizontal="right" vertical="center" indent="1"/>
    </xf>
    <xf numFmtId="166" fontId="3" fillId="0" borderId="8" xfId="0" applyNumberFormat="1" applyFont="1" applyBorder="1" applyAlignment="1">
      <alignment horizontal="right" vertical="center" indent="1"/>
    </xf>
    <xf numFmtId="0" fontId="0" fillId="0" borderId="0" xfId="0" quotePrefix="1"/>
    <xf numFmtId="2" fontId="3" fillId="0" borderId="7" xfId="0" applyNumberFormat="1" applyFont="1" applyBorder="1" applyAlignment="1">
      <alignment horizontal="right" vertical="center" indent="2"/>
    </xf>
    <xf numFmtId="2" fontId="3" fillId="0" borderId="8" xfId="0" applyNumberFormat="1" applyFont="1" applyBorder="1" applyAlignment="1">
      <alignment horizontal="center" vertical="center"/>
    </xf>
    <xf numFmtId="2" fontId="3" fillId="0" borderId="7" xfId="0" applyNumberFormat="1" applyFont="1" applyBorder="1" applyAlignment="1">
      <alignment horizontal="center" vertical="center"/>
    </xf>
    <xf numFmtId="166" fontId="3" fillId="0" borderId="21" xfId="1" applyNumberFormat="1" applyFont="1" applyBorder="1" applyAlignment="1">
      <alignment horizontal="right" vertical="center" indent="1"/>
    </xf>
    <xf numFmtId="0" fontId="3" fillId="0" borderId="7" xfId="0" applyFont="1" applyBorder="1" applyAlignment="1">
      <alignment horizontal="left" vertical="center" indent="2"/>
    </xf>
    <xf numFmtId="0" fontId="3" fillId="0" borderId="7" xfId="0" quotePrefix="1" applyFont="1" applyBorder="1" applyAlignment="1">
      <alignment horizontal="left" vertical="center" indent="1"/>
    </xf>
    <xf numFmtId="166" fontId="3" fillId="0" borderId="11" xfId="1" applyNumberFormat="1" applyFont="1" applyBorder="1" applyAlignment="1">
      <alignment horizontal="right" vertical="center" indent="1"/>
    </xf>
    <xf numFmtId="166" fontId="3" fillId="0" borderId="11" xfId="0" applyNumberFormat="1" applyFont="1" applyBorder="1" applyAlignment="1">
      <alignment horizontal="right" vertical="center" indent="1"/>
    </xf>
    <xf numFmtId="2" fontId="3" fillId="0" borderId="11" xfId="0" applyNumberFormat="1" applyFont="1" applyBorder="1" applyAlignment="1">
      <alignment horizontal="center" vertical="center"/>
    </xf>
    <xf numFmtId="167" fontId="0" fillId="0" borderId="6" xfId="0" applyNumberFormat="1" applyBorder="1" applyAlignment="1">
      <alignment horizontal="center" vertical="center"/>
    </xf>
    <xf numFmtId="167" fontId="0" fillId="0" borderId="0" xfId="0" applyNumberFormat="1" applyAlignment="1">
      <alignment horizontal="center" vertical="top"/>
    </xf>
    <xf numFmtId="167" fontId="0" fillId="0" borderId="0" xfId="0" applyNumberFormat="1" applyAlignment="1">
      <alignment horizontal="left" vertical="top"/>
    </xf>
    <xf numFmtId="167" fontId="0" fillId="0" borderId="0" xfId="0" applyNumberFormat="1" applyAlignment="1">
      <alignment horizontal="center" vertical="center"/>
    </xf>
    <xf numFmtId="0" fontId="0" fillId="0" borderId="0" xfId="0" applyAlignment="1">
      <alignment horizontal="center" vertical="top"/>
    </xf>
    <xf numFmtId="2" fontId="3" fillId="0" borderId="12" xfId="0" applyNumberFormat="1" applyFont="1" applyBorder="1" applyAlignment="1">
      <alignment horizontal="center" vertical="center" wrapText="1"/>
    </xf>
    <xf numFmtId="0" fontId="3" fillId="0" borderId="1" xfId="0" applyFont="1" applyBorder="1" applyAlignment="1">
      <alignment horizontal="right" vertical="center" wrapText="1" indent="1"/>
    </xf>
    <xf numFmtId="0" fontId="3" fillId="0" borderId="7" xfId="0" quotePrefix="1" applyFont="1" applyBorder="1" applyAlignment="1">
      <alignment horizontal="center" vertical="center" wrapText="1"/>
    </xf>
    <xf numFmtId="164" fontId="3" fillId="0" borderId="7" xfId="1" applyNumberFormat="1" applyFont="1" applyBorder="1" applyAlignment="1">
      <alignment horizontal="right" vertical="center" indent="1"/>
    </xf>
    <xf numFmtId="164" fontId="3" fillId="0" borderId="0" xfId="1" applyNumberFormat="1" applyFont="1" applyAlignment="1">
      <alignment horizontal="right" vertical="center" indent="1"/>
    </xf>
    <xf numFmtId="0" fontId="3" fillId="0" borderId="7" xfId="0" quotePrefix="1" applyFont="1" applyBorder="1" applyAlignment="1">
      <alignment horizontal="right" vertical="center" indent="1"/>
    </xf>
    <xf numFmtId="166" fontId="0" fillId="0" borderId="8" xfId="1" applyNumberFormat="1" applyFont="1" applyBorder="1"/>
    <xf numFmtId="164" fontId="3" fillId="0" borderId="0" xfId="1" applyNumberFormat="1" applyFont="1" applyBorder="1" applyAlignment="1">
      <alignment horizontal="right" vertical="center" indent="1"/>
    </xf>
    <xf numFmtId="0" fontId="3" fillId="0" borderId="7" xfId="0" applyFont="1" applyBorder="1" applyAlignment="1">
      <alignment horizontal="right" vertical="center" indent="1"/>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0" xfId="0" quotePrefix="1" applyAlignment="1">
      <alignment horizontal="left" indent="1"/>
    </xf>
    <xf numFmtId="9" fontId="0" fillId="0" borderId="8" xfId="2" applyFont="1" applyBorder="1"/>
    <xf numFmtId="9" fontId="0" fillId="0" borderId="21" xfId="2" applyFont="1" applyBorder="1"/>
    <xf numFmtId="16" fontId="0" fillId="0" borderId="0" xfId="0" quotePrefix="1" applyNumberFormat="1"/>
    <xf numFmtId="0" fontId="0" fillId="0" borderId="0" xfId="0" applyAlignment="1">
      <alignment horizontal="left" indent="2"/>
    </xf>
    <xf numFmtId="166" fontId="0" fillId="0" borderId="11" xfId="1" applyNumberFormat="1" applyFont="1" applyBorder="1"/>
    <xf numFmtId="0" fontId="0" fillId="0" borderId="5" xfId="0" applyBorder="1" applyAlignment="1">
      <alignment horizontal="center" vertical="center"/>
    </xf>
    <xf numFmtId="0" fontId="0" fillId="0" borderId="6" xfId="0" applyBorder="1" applyAlignment="1">
      <alignment horizontal="center" vertical="center"/>
    </xf>
    <xf numFmtId="0" fontId="3" fillId="0" borderId="0" xfId="0" applyFont="1" applyAlignment="1">
      <alignment horizontal="left" vertical="center" wrapText="1"/>
    </xf>
    <xf numFmtId="0" fontId="3" fillId="0" borderId="3" xfId="0" applyFont="1" applyBorder="1" applyAlignment="1">
      <alignment horizontal="center" vertical="center" wrapText="1"/>
    </xf>
    <xf numFmtId="0" fontId="3" fillId="0" borderId="9" xfId="0" applyFont="1" applyBorder="1" applyAlignment="1">
      <alignment vertical="center"/>
    </xf>
    <xf numFmtId="0" fontId="3" fillId="0" borderId="11" xfId="0" applyFont="1" applyBorder="1" applyAlignment="1">
      <alignment horizontal="center" vertical="center" wrapText="1"/>
    </xf>
    <xf numFmtId="0" fontId="0" fillId="0" borderId="10" xfId="0" applyBorder="1" applyAlignment="1">
      <alignment horizontal="center" vertical="center" wrapText="1"/>
    </xf>
    <xf numFmtId="0" fontId="0" fillId="0" borderId="1" xfId="0" applyBorder="1" applyAlignment="1">
      <alignment horizontal="center" vertical="center" wrapText="1"/>
    </xf>
    <xf numFmtId="166" fontId="0" fillId="0" borderId="7" xfId="1" applyNumberFormat="1" applyFont="1" applyBorder="1"/>
    <xf numFmtId="165" fontId="3" fillId="0" borderId="8" xfId="2" applyNumberFormat="1" applyFont="1" applyBorder="1" applyAlignment="1">
      <alignment horizontal="right" vertical="center" indent="1"/>
    </xf>
    <xf numFmtId="165" fontId="3" fillId="0" borderId="0" xfId="2" applyNumberFormat="1" applyFont="1" applyAlignment="1">
      <alignment horizontal="right" vertical="center" indent="1"/>
    </xf>
    <xf numFmtId="165" fontId="3" fillId="0" borderId="11" xfId="2" applyNumberFormat="1" applyFont="1" applyBorder="1" applyAlignment="1">
      <alignment horizontal="right" vertical="center" indent="1"/>
    </xf>
    <xf numFmtId="165" fontId="3" fillId="0" borderId="20" xfId="2" applyNumberFormat="1" applyFont="1" applyBorder="1" applyAlignment="1">
      <alignment horizontal="right" vertical="center" indent="1"/>
    </xf>
    <xf numFmtId="0" fontId="0" fillId="0" borderId="5" xfId="0" applyBorder="1" applyAlignment="1">
      <alignment horizontal="left"/>
    </xf>
    <xf numFmtId="0" fontId="0" fillId="0" borderId="6" xfId="0" applyBorder="1" applyAlignment="1">
      <alignment horizontal="left"/>
    </xf>
    <xf numFmtId="0" fontId="0" fillId="0" borderId="0" xfId="0" applyAlignment="1">
      <alignment horizontal="left"/>
    </xf>
    <xf numFmtId="166" fontId="0" fillId="0" borderId="2" xfId="1" applyNumberFormat="1" applyFont="1" applyBorder="1"/>
    <xf numFmtId="166" fontId="0" fillId="0" borderId="3" xfId="1" applyNumberFormat="1" applyFont="1" applyBorder="1"/>
    <xf numFmtId="0" fontId="0" fillId="0" borderId="0" xfId="0" applyAlignment="1">
      <alignment horizontal="left" vertical="center"/>
    </xf>
    <xf numFmtId="0" fontId="0" fillId="0" borderId="7" xfId="0" applyBorder="1" applyAlignment="1">
      <alignment horizontal="left" vertical="center"/>
    </xf>
    <xf numFmtId="164" fontId="0" fillId="0" borderId="8" xfId="1" applyNumberFormat="1" applyFont="1" applyBorder="1"/>
    <xf numFmtId="0" fontId="0" fillId="0" borderId="7" xfId="0" applyBorder="1" applyAlignment="1">
      <alignment horizontal="left" vertical="center"/>
    </xf>
    <xf numFmtId="169" fontId="0" fillId="0" borderId="0" xfId="0" applyNumberFormat="1"/>
    <xf numFmtId="169" fontId="0" fillId="0" borderId="8" xfId="1" applyNumberFormat="1" applyFont="1" applyBorder="1"/>
    <xf numFmtId="169" fontId="0" fillId="0" borderId="8" xfId="0" applyNumberFormat="1" applyBorder="1"/>
    <xf numFmtId="0" fontId="0" fillId="0" borderId="1" xfId="0" applyBorder="1" applyAlignment="1">
      <alignment horizontal="left" vertical="center"/>
    </xf>
    <xf numFmtId="0" fontId="0" fillId="0" borderId="10" xfId="0" applyBorder="1" applyAlignment="1">
      <alignment horizontal="left" vertical="center"/>
    </xf>
    <xf numFmtId="164" fontId="0" fillId="0" borderId="11" xfId="1" applyNumberFormat="1" applyFont="1" applyBorder="1"/>
    <xf numFmtId="167" fontId="0" fillId="0" borderId="0" xfId="0" applyNumberFormat="1" applyAlignment="1">
      <alignment horizontal="left" vertical="top" wrapText="1"/>
    </xf>
    <xf numFmtId="0" fontId="4" fillId="7" borderId="2" xfId="0" applyFont="1" applyFill="1" applyBorder="1" applyAlignment="1">
      <alignment horizontal="center" vertical="center" wrapText="1"/>
    </xf>
    <xf numFmtId="164" fontId="6" fillId="0" borderId="3" xfId="1" applyNumberFormat="1" applyFont="1" applyBorder="1" applyAlignment="1">
      <alignment horizontal="center" vertical="center" wrapText="1"/>
    </xf>
    <xf numFmtId="164" fontId="6" fillId="0" borderId="5" xfId="1" applyNumberFormat="1" applyFont="1" applyBorder="1" applyAlignment="1">
      <alignment horizontal="center" vertical="center" wrapText="1"/>
    </xf>
    <xf numFmtId="164" fontId="6" fillId="0" borderId="6" xfId="1" applyNumberFormat="1" applyFont="1" applyBorder="1" applyAlignment="1">
      <alignment horizontal="center" vertical="center" wrapText="1"/>
    </xf>
    <xf numFmtId="164" fontId="6" fillId="0" borderId="4" xfId="1" applyNumberFormat="1" applyFont="1" applyBorder="1" applyAlignment="1">
      <alignment horizontal="center" vertical="center" wrapText="1"/>
    </xf>
    <xf numFmtId="164" fontId="6" fillId="0" borderId="10" xfId="1" applyNumberFormat="1" applyFont="1" applyBorder="1" applyAlignment="1">
      <alignment vertical="center"/>
    </xf>
    <xf numFmtId="164" fontId="6" fillId="0" borderId="11" xfId="1" applyNumberFormat="1" applyFont="1" applyBorder="1" applyAlignment="1">
      <alignment horizontal="center" vertical="center" wrapText="1"/>
    </xf>
    <xf numFmtId="164" fontId="6" fillId="0" borderId="6" xfId="1" applyNumberFormat="1" applyFont="1" applyBorder="1" applyAlignment="1">
      <alignment horizontal="center" vertical="center"/>
    </xf>
    <xf numFmtId="164" fontId="6" fillId="0" borderId="12" xfId="1" applyNumberFormat="1" applyFont="1" applyBorder="1" applyAlignment="1">
      <alignment horizontal="center" vertical="center"/>
    </xf>
    <xf numFmtId="164" fontId="6" fillId="0" borderId="4" xfId="1" applyNumberFormat="1" applyFont="1" applyBorder="1" applyAlignment="1">
      <alignment horizontal="center" vertical="center"/>
    </xf>
    <xf numFmtId="164" fontId="6" fillId="0" borderId="2" xfId="1" applyNumberFormat="1" applyFont="1" applyBorder="1" applyAlignment="1">
      <alignment vertical="center"/>
    </xf>
    <xf numFmtId="167" fontId="0" fillId="0" borderId="3" xfId="0" applyNumberFormat="1" applyBorder="1" applyAlignment="1">
      <alignment horizontal="center" vertical="center"/>
    </xf>
    <xf numFmtId="164" fontId="6" fillId="0" borderId="7" xfId="1" applyNumberFormat="1" applyFont="1" applyBorder="1" applyAlignment="1">
      <alignment horizontal="left" vertical="center" indent="1"/>
    </xf>
    <xf numFmtId="43" fontId="3" fillId="0" borderId="8" xfId="1" applyFont="1" applyBorder="1" applyAlignment="1">
      <alignment horizontal="left" vertical="center"/>
    </xf>
    <xf numFmtId="164" fontId="3" fillId="0" borderId="8" xfId="1" applyNumberFormat="1" applyFont="1" applyBorder="1" applyAlignment="1">
      <alignment horizontal="left" vertical="center"/>
    </xf>
    <xf numFmtId="165" fontId="0" fillId="0" borderId="8" xfId="2" applyNumberFormat="1" applyFont="1" applyBorder="1" applyAlignment="1">
      <alignment horizontal="center" vertical="center"/>
    </xf>
    <xf numFmtId="165" fontId="0" fillId="0" borderId="21" xfId="2" applyNumberFormat="1" applyFont="1" applyBorder="1" applyAlignment="1">
      <alignment horizontal="center" vertical="center"/>
    </xf>
    <xf numFmtId="0" fontId="6" fillId="0" borderId="7" xfId="0" applyFont="1" applyBorder="1" applyAlignment="1">
      <alignment vertical="center"/>
    </xf>
    <xf numFmtId="0" fontId="3" fillId="0" borderId="8" xfId="0" applyFont="1" applyBorder="1" applyAlignment="1">
      <alignment vertical="center"/>
    </xf>
    <xf numFmtId="167" fontId="0" fillId="0" borderId="8" xfId="0" applyNumberFormat="1" applyBorder="1" applyAlignment="1">
      <alignment horizontal="center" vertical="center"/>
    </xf>
    <xf numFmtId="167" fontId="0" fillId="0" borderId="21" xfId="0" applyNumberFormat="1" applyBorder="1" applyAlignment="1">
      <alignment horizontal="center" vertical="center"/>
    </xf>
    <xf numFmtId="9" fontId="3" fillId="0" borderId="0" xfId="0" applyNumberFormat="1" applyFont="1" applyAlignment="1">
      <alignment horizontal="center" vertical="center"/>
    </xf>
    <xf numFmtId="164" fontId="6" fillId="0" borderId="10" xfId="1" applyNumberFormat="1" applyFont="1" applyBorder="1" applyAlignment="1">
      <alignment horizontal="left" vertical="center" indent="1"/>
    </xf>
    <xf numFmtId="9" fontId="3" fillId="0" borderId="11" xfId="0" applyNumberFormat="1" applyFont="1" applyBorder="1" applyAlignment="1">
      <alignment horizontal="center" vertical="center"/>
    </xf>
    <xf numFmtId="165" fontId="0" fillId="0" borderId="11" xfId="2" applyNumberFormat="1" applyFont="1" applyBorder="1" applyAlignment="1">
      <alignment horizontal="center" vertical="center"/>
    </xf>
    <xf numFmtId="165" fontId="0" fillId="0" borderId="20" xfId="2" applyNumberFormat="1" applyFont="1" applyBorder="1" applyAlignment="1">
      <alignment horizontal="center" vertical="center"/>
    </xf>
    <xf numFmtId="0" fontId="0" fillId="0" borderId="5" xfId="0" applyBorder="1" applyAlignment="1">
      <alignment horizontal="center" vertical="center"/>
    </xf>
    <xf numFmtId="9" fontId="0" fillId="0" borderId="0" xfId="0" applyNumberFormat="1"/>
    <xf numFmtId="165" fontId="0" fillId="0" borderId="0" xfId="2" applyNumberFormat="1" applyFont="1" applyAlignment="1">
      <alignment horizontal="center" vertical="center"/>
    </xf>
    <xf numFmtId="165" fontId="0" fillId="0" borderId="0" xfId="2" applyNumberFormat="1" applyFont="1" applyAlignment="1">
      <alignment horizontal="center" vertical="center"/>
    </xf>
    <xf numFmtId="165" fontId="0" fillId="0" borderId="0" xfId="2" applyNumberFormat="1" applyFont="1" applyAlignment="1">
      <alignment horizontal="center"/>
    </xf>
    <xf numFmtId="0" fontId="2" fillId="0" borderId="4" xfId="0" applyFont="1" applyBorder="1" applyAlignment="1">
      <alignment horizontal="center" vertical="center"/>
    </xf>
    <xf numFmtId="0" fontId="3" fillId="0" borderId="21" xfId="0" applyFont="1" applyBorder="1" applyAlignment="1">
      <alignment vertical="center"/>
    </xf>
    <xf numFmtId="0" fontId="3" fillId="0" borderId="21" xfId="0" applyFont="1" applyBorder="1" applyAlignment="1">
      <alignment horizontal="center" vertical="center"/>
    </xf>
    <xf numFmtId="0" fontId="3" fillId="0" borderId="20" xfId="0" applyFont="1" applyBorder="1" applyAlignment="1">
      <alignment vertical="center"/>
    </xf>
    <xf numFmtId="165" fontId="3" fillId="0" borderId="0" xfId="0" applyNumberFormat="1" applyFont="1" applyBorder="1" applyAlignment="1">
      <alignment horizontal="center" vertical="center"/>
    </xf>
    <xf numFmtId="0" fontId="3" fillId="0" borderId="9" xfId="1" applyNumberFormat="1" applyFont="1" applyBorder="1" applyAlignment="1">
      <alignment vertical="top" wrapText="1"/>
    </xf>
    <xf numFmtId="167" fontId="6" fillId="0" borderId="22" xfId="0" applyNumberFormat="1" applyFont="1" applyBorder="1" applyAlignment="1">
      <alignment horizontal="center" vertical="center"/>
    </xf>
    <xf numFmtId="0" fontId="3" fillId="0" borderId="4" xfId="0" applyFont="1" applyBorder="1" applyAlignment="1">
      <alignment horizontal="center" vertical="center"/>
    </xf>
    <xf numFmtId="0" fontId="3" fillId="0" borderId="20" xfId="0" applyFont="1" applyBorder="1" applyAlignment="1">
      <alignment horizontal="center" vertical="center"/>
    </xf>
    <xf numFmtId="0" fontId="3" fillId="0" borderId="6" xfId="0" applyFont="1" applyBorder="1" applyAlignment="1">
      <alignment vertical="center"/>
    </xf>
    <xf numFmtId="0" fontId="3" fillId="0" borderId="1" xfId="1" applyNumberFormat="1" applyFont="1" applyBorder="1" applyAlignment="1">
      <alignment horizontal="left" vertical="top" wrapText="1"/>
    </xf>
    <xf numFmtId="0" fontId="3" fillId="0" borderId="10" xfId="1" applyNumberFormat="1" applyFont="1" applyBorder="1" applyAlignment="1">
      <alignment horizontal="left" vertical="top" wrapText="1"/>
    </xf>
    <xf numFmtId="0" fontId="3" fillId="0" borderId="0" xfId="0" applyFont="1" applyBorder="1" applyAlignment="1">
      <alignment horizontal="left" vertical="top" wrapText="1"/>
    </xf>
    <xf numFmtId="167" fontId="3" fillId="0" borderId="0" xfId="0" applyNumberFormat="1" applyFont="1" applyBorder="1" applyAlignment="1">
      <alignment vertical="center"/>
    </xf>
    <xf numFmtId="168" fontId="3" fillId="0" borderId="0" xfId="0" applyNumberFormat="1" applyFont="1" applyBorder="1" applyAlignment="1">
      <alignment vertical="center"/>
    </xf>
    <xf numFmtId="1" fontId="3" fillId="0" borderId="0" xfId="0" applyNumberFormat="1" applyFont="1" applyAlignment="1">
      <alignment horizontal="center" vertical="center"/>
    </xf>
  </cellXfs>
  <cellStyles count="4">
    <cellStyle name="Comma" xfId="1" builtinId="3"/>
    <cellStyle name="Hyperlink" xfId="3" builtinId="8"/>
    <cellStyle name="Normal" xfId="0" builtinId="0"/>
    <cellStyle name="Percent" xfId="2" builtinId="5"/>
  </cellStyles>
  <dxfs count="271">
    <dxf>
      <font>
        <b val="0"/>
        <i val="0"/>
        <strike val="0"/>
        <condense val="0"/>
        <extend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rgb="FF000000"/>
        <name val="Franklin Gothic Book"/>
        <family val="2"/>
        <scheme val="none"/>
      </font>
      <numFmt numFmtId="166" formatCode="_(* #,##0_);_(* \(#,##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166" formatCode="_(* #,##0_);_(* \(#,##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8" formatCode="_(* #,##0.0000_);_(* \(#,##0.0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0.0%"/>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theme="1"/>
        <name val="Calibri"/>
        <family val="2"/>
        <scheme val="minor"/>
      </font>
      <numFmt numFmtId="167" formatCode="0.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6" formatCode="_(* #,##0_);_(* \(#,##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left" vertical="center" textRotation="0" wrapText="0" indent="1" justifyLastLine="0" shrinkToFit="0" readingOrder="0"/>
    </dxf>
    <dxf>
      <font>
        <b val="0"/>
        <i val="0"/>
        <strike val="0"/>
        <condense val="0"/>
        <extend val="0"/>
        <outline val="0"/>
        <shadow val="0"/>
        <u val="none"/>
        <vertAlign val="baseline"/>
        <sz val="10"/>
        <color theme="1"/>
        <name val="Calibri"/>
        <family val="2"/>
        <scheme val="minor"/>
      </font>
      <alignment horizontal="left" vertical="center" textRotation="0" wrapText="0" indent="1" justifyLastLine="0" shrinkToFit="0" readingOrder="0"/>
    </dxf>
    <dxf>
      <font>
        <strike val="0"/>
        <outline val="0"/>
        <shadow val="0"/>
        <u val="none"/>
        <vertAlign val="baseline"/>
        <sz val="10"/>
        <color theme="1"/>
        <name val="Calibri"/>
        <scheme val="minor"/>
      </font>
      <numFmt numFmtId="35" formatCode="_(* #,##0.00_);_(* \(#,##0.00\);_(* &quot;-&quot;??_);_(@_)"/>
      <alignment horizontal="left" vertical="center" textRotation="0" wrapText="0" indent="1" justifyLastLine="0" shrinkToFit="0" readingOrder="0"/>
    </dxf>
    <dxf>
      <font>
        <strike val="0"/>
        <outline val="0"/>
        <shadow val="0"/>
        <u val="none"/>
        <vertAlign val="baseline"/>
        <sz val="10"/>
        <color theme="1"/>
        <name val="Calibri"/>
        <scheme val="minor"/>
      </font>
      <numFmt numFmtId="166" formatCode="_(* #,##0_);_(* \(#,##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6" formatCode="_(* #,##0_);_(* \(#,##0\);_(* &quot;-&quot;??_);_(@_)"/>
      <alignment horizontal="center" vertical="center" textRotation="0" wrapText="0" indent="0" justifyLastLine="0" shrinkToFit="0" readingOrder="0"/>
    </dxf>
    <dxf>
      <font>
        <strike val="0"/>
        <outline val="0"/>
        <shadow val="0"/>
        <u val="none"/>
        <vertAlign val="baseline"/>
        <sz val="10"/>
        <color theme="1"/>
        <name val="Calibri"/>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ont>
        <strike val="0"/>
        <outline val="0"/>
        <shadow val="0"/>
        <u val="none"/>
        <vertAlign val="baseline"/>
        <sz val="10"/>
        <color theme="1"/>
        <name val="Calibri"/>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strike val="0"/>
        <outline val="0"/>
        <shadow val="0"/>
        <u val="none"/>
        <vertAlign val="baseline"/>
        <sz val="10"/>
        <color rgb="FF000000"/>
        <name val="Franklin Gothic Book"/>
        <family val="2"/>
        <scheme val="none"/>
      </font>
      <numFmt numFmtId="1" formatCode="0"/>
      <alignment horizontal="center" vertical="center" textRotation="0" wrapText="0" indent="0" justifyLastLine="0" shrinkToFit="0" readingOrder="0"/>
    </dxf>
    <dxf>
      <font>
        <strike val="0"/>
        <outline val="0"/>
        <shadow val="0"/>
        <u val="none"/>
        <vertAlign val="baseline"/>
        <sz val="10"/>
        <color rgb="FF000000"/>
        <name val="Franklin Gothic Book"/>
        <family val="2"/>
        <scheme val="none"/>
      </font>
      <numFmt numFmtId="1"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rgb="FF000000"/>
        <name val="Franklin Gothic Book"/>
        <family val="2"/>
        <scheme val="none"/>
      </font>
      <numFmt numFmtId="1"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rgb="FF000000"/>
        <name val="Franklin Gothic Book"/>
        <scheme val="none"/>
      </font>
      <numFmt numFmtId="164" formatCode="_(* #,##0.0_);_(* \(#,##0.0\);_(* &quot;-&quot;??_);_(@_)"/>
      <alignment horizontal="general" vertical="center" textRotation="0" wrapText="0" indent="0" justifyLastLine="0" shrinkToFit="0" readingOrder="0"/>
    </dxf>
    <dxf>
      <font>
        <strike val="0"/>
        <outline val="0"/>
        <shadow val="0"/>
        <u val="none"/>
        <vertAlign val="baseline"/>
        <sz val="10"/>
        <color rgb="FF000000"/>
        <name val="Franklin Gothic Book"/>
        <family val="2"/>
        <scheme val="none"/>
      </font>
      <numFmt numFmtId="164" formatCode="_(* #,##0.0_);_(* \(#,##0.0\);_(* &quot;-&quot;??_);_(@_)"/>
      <alignment horizontal="general"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rgb="FF000000"/>
        <name val="Franklin Gothic Book"/>
        <family val="2"/>
        <scheme val="none"/>
      </font>
      <numFmt numFmtId="164" formatCode="_(* #,##0.0_);_(* \(#,##0.0\);_(* &quot;-&quot;??_);_(@_)"/>
      <alignment horizontal="general"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rgb="FF000000"/>
        <name val="Franklin Gothic Book"/>
        <family val="2"/>
        <scheme val="none"/>
      </font>
      <numFmt numFmtId="164" formatCode="_(* #,##0.0_);_(* \(#,##0.0\);_(* &quot;-&quot;??_);_(@_)"/>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rgb="FF000000"/>
        <name val="Franklin Gothic Book"/>
        <family val="2"/>
        <scheme val="none"/>
      </font>
      <numFmt numFmtId="167" formatCode="0.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numFmt numFmtId="168" formatCode="_(* #,##0.0000_);_(* \(#,##0.0000\);_(* &quot;-&quot;??_);_(@_)"/>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numFmt numFmtId="168" formatCode="_(* #,##0.0000_);_(* \(#,##0.0000\);_(* &quot;-&quot;??_);_(@_)"/>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numFmt numFmtId="168" formatCode="_(* #,##0.0000_);_(* \(#,##0.0000\);_(* &quot;-&quot;??_);_(@_)"/>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alignment horizontal="left" vertical="center" textRotation="0" wrapText="0" indent="1" justifyLastLine="0" shrinkToFit="0" readingOrder="0"/>
    </dxf>
    <dxf>
      <font>
        <strike val="0"/>
        <outline val="0"/>
        <shadow val="0"/>
        <u val="none"/>
        <vertAlign val="baseline"/>
        <sz val="10"/>
        <color theme="1"/>
        <name val="Calibri"/>
        <scheme val="minor"/>
      </font>
      <numFmt numFmtId="14" formatCode="0.00%"/>
      <alignment horizontal="center"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theme="1"/>
        <name val="Calibri"/>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left" vertical="center" textRotation="0" wrapText="0" indent="1" justifyLastLine="0" shrinkToFit="0" readingOrder="0"/>
    </dxf>
    <dxf>
      <font>
        <strike val="0"/>
        <outline val="0"/>
        <shadow val="0"/>
        <u val="none"/>
        <vertAlign val="baseline"/>
        <sz val="10"/>
        <color theme="1"/>
        <name val="Calibri"/>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35" formatCode="_(* #,##0.00_);_(* \(#,##0.0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164" formatCode="_(* #,##0.0_);_(* \(#,##0.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164" formatCode="_(* #,##0.0_);_(* \(#,##0.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166" formatCode="_(* #,##0_);_(* \(#,##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numFmt numFmtId="166" formatCode="_(* #,##0_);_(* \(#,##0\);_(* &quot;-&quot;??_);_(@_)"/>
      <alignment horizontal="general"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0" indent="1" justifyLastLine="0" shrinkToFit="0" readingOrder="0"/>
    </dxf>
    <dxf>
      <font>
        <b val="0"/>
        <i val="0"/>
        <strike val="0"/>
        <condense val="0"/>
        <extend val="0"/>
        <outline val="0"/>
        <shadow val="0"/>
        <u val="none"/>
        <vertAlign val="baseline"/>
        <sz val="10"/>
        <color theme="1"/>
        <name val="Calibri"/>
        <family val="2"/>
        <scheme val="minor"/>
      </font>
      <alignment horizontal="left" vertical="center" textRotation="0" wrapText="0" indent="1" justifyLastLine="0" shrinkToFit="0" readingOrder="0"/>
    </dxf>
    <dxf>
      <font>
        <strike val="0"/>
        <outline val="0"/>
        <shadow val="0"/>
        <u val="none"/>
        <vertAlign val="baseline"/>
        <sz val="10"/>
        <color theme="1"/>
        <name val="Calibri"/>
        <scheme val="minor"/>
      </font>
      <alignment horizontal="left" vertical="center" textRotation="0" wrapText="0" indent="1" justifyLastLine="0" shrinkToFit="0" readingOrder="0"/>
    </dxf>
    <dxf>
      <font>
        <strike val="0"/>
        <outline val="0"/>
        <shadow val="0"/>
        <u val="none"/>
        <vertAlign val="baseline"/>
        <sz val="10"/>
        <color theme="1"/>
        <name val="Calibri"/>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5" formatCode="_(* #,##0.00_);_(* \(#,##0.00\);_(* &quot;-&quot;??_);_(@_)"/>
      <alignment horizontal="left" vertical="center" textRotation="0" wrapText="0" indent="1" justifyLastLine="0" shrinkToFit="0" readingOrder="0"/>
    </dxf>
    <dxf>
      <font>
        <strike val="0"/>
        <outline val="0"/>
        <shadow val="0"/>
        <u val="none"/>
        <vertAlign val="baseline"/>
        <sz val="10"/>
        <color theme="1"/>
        <name val="Calibri"/>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none"/>
      </font>
      <alignment horizontal="general" vertical="center" textRotation="0" wrapText="0"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3489618E-6DA6-4558-90DF-3C1F10805E29}">
      <tableStyleElement type="wholeTable" dxfId="270"/>
      <tableStyleElement type="headerRow" dxfId="269"/>
      <tableStyleElement type="secondRowStripe" dxfId="26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106680</xdr:rowOff>
    </xdr:from>
    <xdr:to>
      <xdr:col>28</xdr:col>
      <xdr:colOff>68580</xdr:colOff>
      <xdr:row>54</xdr:row>
      <xdr:rowOff>114300</xdr:rowOff>
    </xdr:to>
    <xdr:pic>
      <xdr:nvPicPr>
        <xdr:cNvPr id="3" name="Picture 2">
          <a:extLst>
            <a:ext uri="{FF2B5EF4-FFF2-40B4-BE49-F238E27FC236}">
              <a16:creationId xmlns:a16="http://schemas.microsoft.com/office/drawing/2014/main" id="{8858A558-8AFF-4332-8EFF-F801DBFB824A}"/>
            </a:ext>
          </a:extLst>
        </xdr:cNvPr>
        <xdr:cNvPicPr>
          <a:picLocks noChangeAspect="1"/>
        </xdr:cNvPicPr>
      </xdr:nvPicPr>
      <xdr:blipFill rotWithShape="1">
        <a:blip xmlns:r="http://schemas.openxmlformats.org/officeDocument/2006/relationships" r:embed="rId1"/>
        <a:srcRect t="13483" r="6280" b="8211"/>
        <a:stretch/>
      </xdr:blipFill>
      <xdr:spPr>
        <a:xfrm>
          <a:off x="0" y="1935480"/>
          <a:ext cx="17137380" cy="8054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12</xdr:col>
      <xdr:colOff>173440</xdr:colOff>
      <xdr:row>48</xdr:row>
      <xdr:rowOff>60961</xdr:rowOff>
    </xdr:to>
    <xdr:pic>
      <xdr:nvPicPr>
        <xdr:cNvPr id="2" name="Picture 1">
          <a:extLst>
            <a:ext uri="{FF2B5EF4-FFF2-40B4-BE49-F238E27FC236}">
              <a16:creationId xmlns:a16="http://schemas.microsoft.com/office/drawing/2014/main" id="{3695037F-FF16-4041-88A6-954465E28429}"/>
            </a:ext>
          </a:extLst>
        </xdr:cNvPr>
        <xdr:cNvPicPr>
          <a:picLocks noChangeAspect="1"/>
        </xdr:cNvPicPr>
      </xdr:nvPicPr>
      <xdr:blipFill>
        <a:blip xmlns:r="http://schemas.openxmlformats.org/officeDocument/2006/relationships" r:embed="rId1"/>
        <a:stretch>
          <a:fillRect/>
        </a:stretch>
      </xdr:blipFill>
      <xdr:spPr>
        <a:xfrm>
          <a:off x="0" y="1"/>
          <a:ext cx="8951680" cy="8473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5882</xdr:colOff>
      <xdr:row>585</xdr:row>
      <xdr:rowOff>177104</xdr:rowOff>
    </xdr:to>
    <xdr:pic>
      <xdr:nvPicPr>
        <xdr:cNvPr id="2" name="Picture 1">
          <a:extLst>
            <a:ext uri="{FF2B5EF4-FFF2-40B4-BE49-F238E27FC236}">
              <a16:creationId xmlns:a16="http://schemas.microsoft.com/office/drawing/2014/main" id="{D6721217-FBEB-42B7-BEB7-B3A263BB3CC0}"/>
            </a:ext>
          </a:extLst>
        </xdr:cNvPr>
        <xdr:cNvPicPr>
          <a:picLocks noChangeAspect="1"/>
        </xdr:cNvPicPr>
      </xdr:nvPicPr>
      <xdr:blipFill>
        <a:blip xmlns:r="http://schemas.openxmlformats.org/officeDocument/2006/relationships" r:embed="rId1"/>
        <a:stretch>
          <a:fillRect/>
        </a:stretch>
      </xdr:blipFill>
      <xdr:spPr>
        <a:xfrm>
          <a:off x="0" y="0"/>
          <a:ext cx="13904762" cy="1071619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xdr:rowOff>
    </xdr:from>
    <xdr:to>
      <xdr:col>19</xdr:col>
      <xdr:colOff>167640</xdr:colOff>
      <xdr:row>30</xdr:row>
      <xdr:rowOff>68580</xdr:rowOff>
    </xdr:to>
    <xdr:pic>
      <xdr:nvPicPr>
        <xdr:cNvPr id="2" name="Picture 1">
          <a:extLst>
            <a:ext uri="{FF2B5EF4-FFF2-40B4-BE49-F238E27FC236}">
              <a16:creationId xmlns:a16="http://schemas.microsoft.com/office/drawing/2014/main" id="{72A98C73-6FF4-4B0E-AA0D-732920B88288}"/>
            </a:ext>
          </a:extLst>
        </xdr:cNvPr>
        <xdr:cNvPicPr>
          <a:picLocks noChangeAspect="1"/>
        </xdr:cNvPicPr>
      </xdr:nvPicPr>
      <xdr:blipFill rotWithShape="1">
        <a:blip xmlns:r="http://schemas.openxmlformats.org/officeDocument/2006/relationships" r:embed="rId1"/>
        <a:srcRect l="26212" t="13111" r="9530" b="36511"/>
        <a:stretch/>
      </xdr:blipFill>
      <xdr:spPr>
        <a:xfrm>
          <a:off x="0" y="373380"/>
          <a:ext cx="11750040" cy="518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121920</xdr:colOff>
      <xdr:row>42</xdr:row>
      <xdr:rowOff>83820</xdr:rowOff>
    </xdr:to>
    <xdr:pic>
      <xdr:nvPicPr>
        <xdr:cNvPr id="2" name="Picture 1">
          <a:extLst>
            <a:ext uri="{FF2B5EF4-FFF2-40B4-BE49-F238E27FC236}">
              <a16:creationId xmlns:a16="http://schemas.microsoft.com/office/drawing/2014/main" id="{79D28AD6-80CA-48F3-B019-AFD9FBD67EB1}"/>
            </a:ext>
          </a:extLst>
        </xdr:cNvPr>
        <xdr:cNvPicPr>
          <a:picLocks noChangeAspect="1"/>
        </xdr:cNvPicPr>
      </xdr:nvPicPr>
      <xdr:blipFill rotWithShape="1">
        <a:blip xmlns:r="http://schemas.openxmlformats.org/officeDocument/2006/relationships" r:embed="rId1"/>
        <a:srcRect l="9877" t="21633" r="32782" b="6433"/>
        <a:stretch/>
      </xdr:blipFill>
      <xdr:spPr>
        <a:xfrm>
          <a:off x="0" y="365760"/>
          <a:ext cx="10485120" cy="7399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137160</xdr:rowOff>
    </xdr:from>
    <xdr:to>
      <xdr:col>17</xdr:col>
      <xdr:colOff>30480</xdr:colOff>
      <xdr:row>30</xdr:row>
      <xdr:rowOff>45720</xdr:rowOff>
    </xdr:to>
    <xdr:pic>
      <xdr:nvPicPr>
        <xdr:cNvPr id="2" name="Picture 1">
          <a:extLst>
            <a:ext uri="{FF2B5EF4-FFF2-40B4-BE49-F238E27FC236}">
              <a16:creationId xmlns:a16="http://schemas.microsoft.com/office/drawing/2014/main" id="{E4EFF649-C1C3-4096-9123-A906B325BD83}"/>
            </a:ext>
          </a:extLst>
        </xdr:cNvPr>
        <xdr:cNvPicPr>
          <a:picLocks noChangeAspect="1"/>
        </xdr:cNvPicPr>
      </xdr:nvPicPr>
      <xdr:blipFill rotWithShape="1">
        <a:blip xmlns:r="http://schemas.openxmlformats.org/officeDocument/2006/relationships" r:embed="rId1"/>
        <a:srcRect l="9668" t="28226" r="33492" b="23101"/>
        <a:stretch/>
      </xdr:blipFill>
      <xdr:spPr>
        <a:xfrm>
          <a:off x="0" y="502920"/>
          <a:ext cx="10393680" cy="5006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24</xdr:row>
      <xdr:rowOff>53340</xdr:rowOff>
    </xdr:from>
    <xdr:ext cx="12100560" cy="4572000"/>
    <xdr:pic>
      <xdr:nvPicPr>
        <xdr:cNvPr id="2" name="Picture 1">
          <a:extLst>
            <a:ext uri="{FF2B5EF4-FFF2-40B4-BE49-F238E27FC236}">
              <a16:creationId xmlns:a16="http://schemas.microsoft.com/office/drawing/2014/main" id="{786A3EEB-1438-4303-A346-28084C92D7C8}"/>
            </a:ext>
          </a:extLst>
        </xdr:cNvPr>
        <xdr:cNvPicPr>
          <a:picLocks noChangeAspect="1"/>
        </xdr:cNvPicPr>
      </xdr:nvPicPr>
      <xdr:blipFill rotWithShape="1">
        <a:blip xmlns:r="http://schemas.openxmlformats.org/officeDocument/2006/relationships" r:embed="rId1"/>
        <a:srcRect l="8501" t="44450" r="25324" b="11100"/>
        <a:stretch/>
      </xdr:blipFill>
      <xdr:spPr>
        <a:xfrm>
          <a:off x="0" y="4442460"/>
          <a:ext cx="12100560" cy="4572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129540</xdr:rowOff>
    </xdr:from>
    <xdr:to>
      <xdr:col>20</xdr:col>
      <xdr:colOff>243840</xdr:colOff>
      <xdr:row>34</xdr:row>
      <xdr:rowOff>7620</xdr:rowOff>
    </xdr:to>
    <xdr:pic>
      <xdr:nvPicPr>
        <xdr:cNvPr id="2" name="Picture 1">
          <a:extLst>
            <a:ext uri="{FF2B5EF4-FFF2-40B4-BE49-F238E27FC236}">
              <a16:creationId xmlns:a16="http://schemas.microsoft.com/office/drawing/2014/main" id="{D3D8248E-7A38-44A4-A9FF-20BD555C783C}"/>
            </a:ext>
          </a:extLst>
        </xdr:cNvPr>
        <xdr:cNvPicPr>
          <a:picLocks noChangeAspect="1"/>
        </xdr:cNvPicPr>
      </xdr:nvPicPr>
      <xdr:blipFill rotWithShape="1">
        <a:blip xmlns:r="http://schemas.openxmlformats.org/officeDocument/2006/relationships" r:embed="rId1"/>
        <a:srcRect l="7376" t="36893" r="24616" b="9174"/>
        <a:stretch/>
      </xdr:blipFill>
      <xdr:spPr>
        <a:xfrm>
          <a:off x="0" y="678180"/>
          <a:ext cx="12435840" cy="5547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ov\OneDrive\Documents\Duke%20Network%20Files-DESKTOP-JNSOPB9-DESKTOP-JNSOPB9-DESKTOP-JNSOPB9\Service\FORBES\COVID19\Cost%20of%20COVID%20Deaths\COVID19Economics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onov\OneDrive\Documents\Duke%20Network%20Files-DESKTOP-JNSOPB9-DESKTOP-JNSOPB9-DESKTOP-JNSOPB9\Service\FORBES\COVID19\Cost%20of%20COVID%20Deaths\COVID%20Cases%20and%20Death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ov\OneDrive\Documents\Duke%20Network%20Files-DESKTOP-JNSOPB9-DESKTOP-JNSOPB9-DESKTOP-JNSOPB9\Service\FORBES\COVID19\Cost%20of%20COVID%20Deaths\COVID19%20Value%20of%20Lost%20Liv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1ce0f73701cff868/Documents/Duke%20Network%20Files/Service/FORBES/COVID-19/COVID19Economics%20(version%201)%20(version%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ov\OneDrive\Documents\Duke%20Network%20Files-DESKTOP-JNSOPB9-DESKTOP-JNSOPB9\Service\FORBES\COVID19\MasksDrunkDriving\DrunkDriving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COVID VSL"/>
      <sheetName val="COVID Cases-Deaths by Age"/>
      <sheetName val="LLE and QALYs"/>
      <sheetName val="S5 Hanmer"/>
      <sheetName val="S7 Sullivan"/>
      <sheetName val="Cost of Lost Lives"/>
      <sheetName val="Age-Adjusted VSLYs"/>
      <sheetName val="National Population Projections"/>
      <sheetName val="Cases by Age Group"/>
      <sheetName val="Deaths by Age Group"/>
      <sheetName val="LIfe Table 2017"/>
      <sheetName val="Cohort Life Expectancy"/>
      <sheetName val="Period Life Expectancy"/>
      <sheetName val="Kyle Lamb Data"/>
      <sheetName val="QALY"/>
      <sheetName val="GDP Price Deflator"/>
      <sheetName val="COVID v Economy"/>
      <sheetName val="COVID-19 Deaths by Age"/>
      <sheetName val="Provisional_COVID-19_Death_Coun"/>
      <sheetName val="COVID Deaths thru 5-30"/>
      <sheetName val="nc-est2018-agesex-res"/>
      <sheetName val="GNI per Capita"/>
      <sheetName val="ESRD"/>
      <sheetName val="2020-04-20-model-data"/>
    </sheetNames>
    <sheetDataSet>
      <sheetData sheetId="0"/>
      <sheetData sheetId="1"/>
      <sheetData sheetId="2">
        <row r="13">
          <cell r="E13">
            <v>10.628843275623735</v>
          </cell>
        </row>
      </sheetData>
      <sheetData sheetId="3"/>
      <sheetData sheetId="4"/>
      <sheetData sheetId="5"/>
      <sheetData sheetId="6"/>
      <sheetData sheetId="7"/>
      <sheetData sheetId="8">
        <row r="5">
          <cell r="B5">
            <v>1.4</v>
          </cell>
        </row>
        <row r="6">
          <cell r="B6">
            <v>4.4000000000000004</v>
          </cell>
        </row>
        <row r="7">
          <cell r="B7">
            <v>18.399999999999999</v>
          </cell>
        </row>
        <row r="8">
          <cell r="B8">
            <v>16.7</v>
          </cell>
        </row>
        <row r="9">
          <cell r="B9">
            <v>16.2</v>
          </cell>
        </row>
        <row r="10">
          <cell r="B10">
            <v>23.6</v>
          </cell>
        </row>
        <row r="11">
          <cell r="B11">
            <v>9</v>
          </cell>
        </row>
        <row r="12">
          <cell r="B12">
            <v>5.6</v>
          </cell>
        </row>
        <row r="13">
          <cell r="B13">
            <v>4.7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ID Cases-Deaths by Age"/>
      <sheetName val="S1 Cases Deaths by Age Group"/>
      <sheetName val="S2 Cases Deaths Total"/>
      <sheetName val="S3 CDC Pandemic Planning"/>
      <sheetName val="S4 CDC COVID Resources"/>
      <sheetName val="S5 National Pop Projections"/>
    </sheetNames>
    <sheetDataSet>
      <sheetData sheetId="0"/>
      <sheetData sheetId="1">
        <row r="5">
          <cell r="B5">
            <v>1.5</v>
          </cell>
        </row>
        <row r="6">
          <cell r="B6">
            <v>5.2</v>
          </cell>
        </row>
        <row r="7">
          <cell r="B7">
            <v>20.6</v>
          </cell>
        </row>
        <row r="8">
          <cell r="B8">
            <v>17.100000000000001</v>
          </cell>
        </row>
        <row r="9">
          <cell r="B9">
            <v>16</v>
          </cell>
        </row>
        <row r="10">
          <cell r="B10">
            <v>22.3</v>
          </cell>
        </row>
        <row r="11">
          <cell r="B11">
            <v>8.3000000000000007</v>
          </cell>
        </row>
        <row r="12">
          <cell r="B12">
            <v>5</v>
          </cell>
        </row>
        <row r="13">
          <cell r="B13">
            <v>4.0999999999999996</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tality Losses"/>
      <sheetName val="S1 Aldy Viscusi"/>
      <sheetName val="S2 LIfe Table 2017"/>
      <sheetName val="S3 Broughel"/>
      <sheetName val="S4 Conover LLE and QALYs"/>
      <sheetName val="S5 CEA Opioid"/>
      <sheetName val="S6 Hammitt"/>
      <sheetName val="S7 ICER"/>
      <sheetName val="S8 Molinari"/>
      <sheetName val="S9 Murphy Topel"/>
      <sheetName val="S10 2020 Pop by Race-Sex-Age"/>
      <sheetName val="S11 Nee"/>
      <sheetName val="S12 Neumann"/>
      <sheetName val="S13 Phelps"/>
      <sheetName val="S14 Raich Child VSL"/>
      <sheetName val="S15 Robinson"/>
      <sheetName val="S16 Sanders CEA Recommend"/>
      <sheetName val="S17 Period Life Expectancy"/>
      <sheetName val="S18 Cohort Life Expectancy"/>
      <sheetName val="S19 ESRD"/>
      <sheetName val="S20 BEA Glossary GNI"/>
      <sheetName val="S21 BEA 7 Statistical Adjust"/>
      <sheetName val="S22 BEA 7.1 GNP per Capita"/>
      <sheetName val="S23 BEA Stat Disrpancy Definit"/>
      <sheetName val="S24 BLS CPI-U"/>
      <sheetName val="S25 BLS Real MUWE"/>
      <sheetName val="S26 DOT Guidance"/>
      <sheetName val="S27 OMB Circular A-4"/>
      <sheetName val="S28 Viscusi"/>
      <sheetName val="S29 World Bank GNI Per Capita"/>
      <sheetName val="COVID VSL 1.0 Old"/>
      <sheetName val="Old S1 COVID Deaths thru 5-30"/>
      <sheetName val="NU1 COVID-19_Deaths by Sex Age"/>
      <sheetName val="NU2 COVID-19 Deaths by 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6">
          <cell r="G56">
            <v>0.03</v>
          </cell>
        </row>
        <row r="57">
          <cell r="G57">
            <v>7.0000000000000007E-2</v>
          </cell>
        </row>
      </sheetData>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COVID VSL"/>
      <sheetName val="QALY"/>
      <sheetName val="GDP Price Deflator"/>
      <sheetName val="New COVID VSL (2)"/>
      <sheetName val="COVID v Economy"/>
      <sheetName val="COVID-19 Deaths by Age"/>
      <sheetName val="nc-est2018-agesex-res"/>
      <sheetName val="GNI per Capita"/>
      <sheetName val="ESRD"/>
      <sheetName val="2020-04-20-model-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Table Drunk Driving"/>
      <sheetName val="S1 LIfe Table 2017"/>
      <sheetName val="S2 Conover LLE and QALYs"/>
      <sheetName val="S3 Miller"/>
      <sheetName val="S4 Sanders CEA Recommend"/>
      <sheetName val="S5 FHA VMT Trends"/>
      <sheetName val="S6 FHA Driver Trends"/>
      <sheetName val="S7 VMT by Age"/>
      <sheetName val="S8 NHTSA Drunk Driver % Fatalit"/>
      <sheetName val="S9 Deaths by Driver Age-BAC"/>
      <sheetName val="S10 Fatalities by Driver AgeBAC"/>
      <sheetName val="S11 Licensed Drivers"/>
      <sheetName val="S12 Period Life Expectancy"/>
      <sheetName val="S13 Cohort Life Expectancy"/>
      <sheetName val="S14 Viscusi"/>
      <sheetName val="S15 Voas"/>
      <sheetName val="S16 Zad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3B1B08-FC9F-4941-B24E-899B3439C9DB}" name="Inventory_List_Table3445" displayName="Inventory_List_Table3445" ref="A4" headerRowCount="0" totalsRowShown="0" dataDxfId="227">
  <tableColumns count="1">
    <tableColumn id="1" xr3:uid="{39A61BE1-7594-4D23-B4C1-A25A4A5C0B55}" name="Column2" dataDxfId="226"/>
  </tableColumns>
  <tableStyleInfo name="Busines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D1D365E-D2B6-4F9E-87EB-E15F16B56AE3}" name="Inventory_List_Table34367" displayName="Inventory_List_Table34367" ref="A4:O15" headerRowCount="0" totalsRowShown="0" dataDxfId="15">
  <tableColumns count="15">
    <tableColumn id="1" xr3:uid="{6F47AD01-7564-488A-9466-5FB0C0F11539}" name="Column2" dataDxfId="14"/>
    <tableColumn id="8" xr3:uid="{562D40E3-D103-4D1D-AB87-687BB77D4BA1}" name="Column1" dataDxfId="13" dataCellStyle="Comma">
      <calculatedColumnFormula>K33/1000000</calculatedColumnFormula>
    </tableColumn>
    <tableColumn id="4" xr3:uid="{0A033CB6-806B-4B48-9521-A6A324EDB946}" name="Column3" dataDxfId="12" dataCellStyle="Comma">
      <calculatedColumnFormula>C53</calculatedColumnFormula>
    </tableColumn>
    <tableColumn id="2" xr3:uid="{9EFF5FD2-2C66-4E89-B5AC-FB9D49C2302E}" name="Total Patients" dataDxfId="11" dataCellStyle="Comma">
      <calculatedColumnFormula>E78</calculatedColumnFormula>
    </tableColumn>
    <tableColumn id="3" xr3:uid="{492AC27F-E43E-4070-B352-6FF4506A9469}" name="Case Fatality Rate" dataDxfId="10">
      <calculatedColumnFormula>#REF!</calculatedColumnFormula>
    </tableColumn>
    <tableColumn id="13" xr3:uid="{6B16E429-F297-4AFF-BECE-E88BF9B27140}" name="Total Deaths" dataDxfId="9"/>
    <tableColumn id="5" xr3:uid="{AC6A2099-B4E3-47CB-BD50-6E98859713E9}" name="Column4" dataDxfId="8" dataCellStyle="Comma">
      <calculatedColumnFormula>$C4*I115</calculatedColumnFormula>
    </tableColumn>
    <tableColumn id="17" xr3:uid="{17093516-D852-4763-9983-9129A6A3787C}" name="Column12" dataDxfId="7" dataCellStyle="Percent">
      <calculatedColumnFormula>$C4*J115</calculatedColumnFormula>
    </tableColumn>
    <tableColumn id="6" xr3:uid="{2E0369F6-6FDE-42EF-9CA0-97A6A37AB748}" name="Column5" dataDxfId="6" dataCellStyle="Percent">
      <calculatedColumnFormula>E4*E$97/G$78</calculatedColumnFormula>
    </tableColumn>
    <tableColumn id="7" xr3:uid="{5CCF37AD-F4A0-4D91-AC76-32AAB6C21522}" name="Column7" dataDxfId="5"/>
    <tableColumn id="10" xr3:uid="{76576C26-1A9C-4291-B775-CBA1F36BD554}" name="Column8" dataDxfId="4">
      <calculatedColumnFormula>I4*J4</calculatedColumnFormula>
    </tableColumn>
    <tableColumn id="9" xr3:uid="{CD2EB731-3237-41D8-8802-C01F6378AE86}" name="Column6" dataDxfId="3" dataCellStyle="Percent">
      <calculatedColumnFormula>365*24*$I4*$J4/($B4*G4*100000)</calculatedColumnFormula>
    </tableColumn>
    <tableColumn id="14" xr3:uid="{2D2177A0-9F9C-4E1D-8913-66BBD294FBCA}" name="Column9" dataDxfId="2">
      <calculatedColumnFormula>K6*#REF!*365</calculatedColumnFormula>
    </tableColumn>
    <tableColumn id="11" xr3:uid="{E800B685-FE38-446C-991D-D9F4A1907BE6}" name="Column10" dataDxfId="1" dataCellStyle="Comma">
      <calculatedColumnFormula>(10*J4*365*24*60/K4)/1000000</calculatedColumnFormula>
    </tableColumn>
    <tableColumn id="12" xr3:uid="{9107E87E-9031-41C3-A033-8D5FC21A5438}" name="Column11" dataDxfId="0">
      <calculatedColumnFormula>100/Inventory_List_Table34367[[#This Row],[Column10]]</calculatedColumnFormula>
    </tableColumn>
  </tableColumns>
  <tableStyleInfo name="Business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2770DA9-5F89-4FBB-BFD0-94060D04626E}" name="Inventory_List_Table343" displayName="Inventory_List_Table343" ref="A5:T12" headerRowCount="0" totalsRowShown="0" dataDxfId="267">
  <tableColumns count="20">
    <tableColumn id="1" xr3:uid="{9ABE67F6-C26B-45CE-9F29-111C35219E52}" name="Column2" dataDxfId="266"/>
    <tableColumn id="7" xr3:uid="{DE3DB752-BBD7-4776-A93C-FF8B2407B59F}" name="Total Pop-ulation" dataDxfId="265" dataCellStyle="Comma"/>
    <tableColumn id="8" xr3:uid="{707B9CBC-1528-4B13-B8E6-C4C92E5443C3}" name="Column1" dataDxfId="264" dataCellStyle="Comma"/>
    <tableColumn id="4" xr3:uid="{66781B72-3EBE-4CDC-819A-46C6246A4438}" name="Column3" dataDxfId="263" dataCellStyle="Comma"/>
    <tableColumn id="2" xr3:uid="{495A0602-5152-4B53-88A7-B99AD250CAAD}" name="Total Patients" dataDxfId="262" dataCellStyle="Comma"/>
    <tableColumn id="3" xr3:uid="{B0F8034F-0DAE-4409-86DC-2B881E2E2678}" name="Case Fatality Rate" dataDxfId="261"/>
    <tableColumn id="13" xr3:uid="{1FD27B95-D6AC-4BE0-8CDD-1A2FF4E2BFCD}" name="Total Deaths" dataDxfId="260"/>
    <tableColumn id="5" xr3:uid="{FC9382B2-2107-4DA1-A502-68C69BCCAB19}" name="Column4" dataDxfId="259" dataCellStyle="Comma">
      <calculatedColumnFormula>Inventory_List_Table343[[#This Row],[Total Deaths]]*Inventory_List_Table343[[#This Row],[Case Fatality Rate]]</calculatedColumnFormula>
    </tableColumn>
    <tableColumn id="17" xr3:uid="{03F14EDF-A53D-4A2A-A2B7-4C80108084B7}" name="Column12" dataDxfId="258" dataCellStyle="Percent">
      <calculatedColumnFormula>$A15</calculatedColumnFormula>
    </tableColumn>
    <tableColumn id="6" xr3:uid="{17C53970-C24F-422A-A252-58FEA912E9C8}" name="Column5" dataDxfId="257" dataCellStyle="Percent"/>
    <tableColumn id="9" xr3:uid="{00562A20-352F-4459-83FF-43EB4D8C729F}" name="Column6" dataDxfId="256" dataCellStyle="Percent"/>
    <tableColumn id="11" xr3:uid="{86797113-A2C3-4F74-A236-E883724346BA}" name="Column7" dataDxfId="255"/>
    <tableColumn id="12" xr3:uid="{2164BA33-4CB1-4DE3-BD3A-6526A3FBA107}" name="Column8" dataDxfId="254">
      <calculatedColumnFormula>'[1]LLE and QALYs'!E12</calculatedColumnFormula>
    </tableColumn>
    <tableColumn id="14" xr3:uid="{F56D6153-593A-4B8C-AA57-DBD9E51EB3E6}" name="Column9" dataDxfId="253">
      <calculatedColumnFormula>J5*$M5*365</calculatedColumnFormula>
    </tableColumn>
    <tableColumn id="15" xr3:uid="{E3F6D4F1-5F5D-4959-9C5F-CBBF527754CD}" name="Column10" dataDxfId="252">
      <calculatedColumnFormula>K5*$M5*365</calculatedColumnFormula>
    </tableColumn>
    <tableColumn id="16" xr3:uid="{91A4B0AE-61C2-454B-AC3A-BB9D03F6417D}" name="Column11" dataDxfId="251">
      <calculatedColumnFormula>L5*$M5*365</calculatedColumnFormula>
    </tableColumn>
    <tableColumn id="18" xr3:uid="{DE0FE5ED-ABB1-4B41-B426-03482E78EE6C}" name="Column13" dataDxfId="250">
      <calculatedColumnFormula>((B$58/H5)/C$61)/B$59</calculatedColumnFormula>
    </tableColumn>
    <tableColumn id="19" xr3:uid="{F7D169FA-0454-49FC-A4C5-33C1FAE9986F}" name="Column14" dataDxfId="249"/>
    <tableColumn id="20" xr3:uid="{7B85AF37-4DBA-4FBE-A5C4-33ACEEFC60FA}" name="Column15" dataDxfId="248"/>
    <tableColumn id="21" xr3:uid="{BACF2E49-3BCF-41A1-B918-D341ACA57776}" name="Column16" dataDxfId="247"/>
  </tableColumns>
  <tableStyleInfo name="Business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95C9FD1-17FC-4C4E-B62B-9D35C4B267EA}" name="Inventory_List_Table344" displayName="Inventory_List_Table344" ref="A5:R5" headerRowCount="0" totalsRowShown="0" dataDxfId="246">
  <tableColumns count="18">
    <tableColumn id="1" xr3:uid="{620832C1-A454-42CE-9208-3E8405C23DE3}" name="Column2" dataDxfId="245"/>
    <tableColumn id="7" xr3:uid="{9DF87A59-F341-4493-A2E0-3CC108332D1F}" name="Total Pop-ulation" dataDxfId="244" dataCellStyle="Comma"/>
    <tableColumn id="8" xr3:uid="{5D789B88-6AFB-4D30-ADFD-F1909A77A31F}" name="Column1" dataDxfId="243" dataCellStyle="Comma"/>
    <tableColumn id="4" xr3:uid="{FE532FEA-8FC8-48AC-9D86-B8A04C595253}" name="Column3" dataDxfId="242" dataCellStyle="Comma"/>
    <tableColumn id="2" xr3:uid="{19C2298A-3445-492C-B176-E053AEB7B249}" name="Total Patients" dataDxfId="241" dataCellStyle="Comma"/>
    <tableColumn id="3" xr3:uid="{F7614F66-AE0A-4B51-AC79-1493FFB0767E}" name="Case Fatality Rate" dataDxfId="240" dataCellStyle="Percent"/>
    <tableColumn id="13" xr3:uid="{7544E6B5-9702-46C2-8D95-8F9C5714D594}" name="Total Deaths" dataDxfId="239"/>
    <tableColumn id="5" xr3:uid="{A08619E9-E494-45DB-A6FF-B27CDD56BD58}" name="Column4" dataDxfId="238" dataCellStyle="Comma"/>
    <tableColumn id="17" xr3:uid="{0705AE83-6F96-4140-9DD8-373439EA7A3A}" name="Column12" dataDxfId="237" dataCellStyle="Comma"/>
    <tableColumn id="6" xr3:uid="{52573A93-AC79-40F3-983C-B9A90B6AC387}" name="Column5" dataDxfId="236" dataCellStyle="Comma"/>
    <tableColumn id="9" xr3:uid="{43BDF13B-D942-4290-8AF2-1ABBD0FF9489}" name="Column6" dataDxfId="235" dataCellStyle="Comma"/>
    <tableColumn id="11" xr3:uid="{909F2F74-D0CD-4AE4-88E3-7D79EFB5BFE2}" name="Column7" dataDxfId="234" dataCellStyle="Comma"/>
    <tableColumn id="12" xr3:uid="{987798A5-84BF-437A-896C-362CE3F9F151}" name="Column8" dataDxfId="233" dataCellStyle="Comma"/>
    <tableColumn id="14" xr3:uid="{507D2252-540C-4DD8-9159-DC8030698E0E}" name="Column9" dataDxfId="232" dataCellStyle="Comma"/>
    <tableColumn id="15" xr3:uid="{01DDDB72-5ED5-4B3D-B92B-CB7544F3620F}" name="Column10" dataDxfId="231"/>
    <tableColumn id="16" xr3:uid="{28CF749D-D84B-46B3-8157-898573266E9D}" name="Column11" dataDxfId="230" dataCellStyle="Comma"/>
    <tableColumn id="18" xr3:uid="{71A330CD-050A-4FEC-81C7-E52FB4E06D09}" name="Column13" dataDxfId="229" dataCellStyle="Comma"/>
    <tableColumn id="19" xr3:uid="{C1AE571D-973B-4377-9CC0-F61F77C19865}" name="Column14" dataDxfId="228" dataCellStyle="Comma"/>
  </tableColumns>
  <tableStyleInfo name="Business 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hyperlink" Target="http://wonder.cdc.gov/population-projections-2014-2060.html%20on%20Jul%2017,%202020%203:20:14%20PM"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http://citeseerx.ist.psu.edu/viewdoc/download;jsessionid=E2DA56236ADC8C0F671F09D8C9D24176?doi=10.1.1.318.6944&amp;rep=rep1&amp;typ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1A61-62B3-4725-947F-78BA005BD5A2}">
  <dimension ref="A1:R83"/>
  <sheetViews>
    <sheetView tabSelected="1" zoomScaleNormal="100" workbookViewId="0">
      <selection activeCell="B25" sqref="B25:N25"/>
    </sheetView>
  </sheetViews>
  <sheetFormatPr defaultColWidth="10.77734375" defaultRowHeight="13.8" x14ac:dyDescent="0.3"/>
  <cols>
    <col min="1" max="1" width="9.33203125" style="87" customWidth="1"/>
    <col min="2" max="2" width="8.109375" style="8" customWidth="1"/>
    <col min="3" max="3" width="11.77734375" style="8" customWidth="1"/>
    <col min="4" max="4" width="10.5546875" style="8" customWidth="1"/>
    <col min="5" max="5" width="12.33203125" style="8" customWidth="1"/>
    <col min="6" max="6" width="14.44140625" style="8" customWidth="1"/>
    <col min="7" max="7" width="11" style="8" customWidth="1"/>
    <col min="8" max="8" width="17.44140625" style="8" customWidth="1"/>
    <col min="9" max="9" width="13.44140625" style="1" customWidth="1"/>
    <col min="10" max="10" width="17" style="1" customWidth="1"/>
    <col min="11" max="11" width="12.21875" style="1" customWidth="1"/>
    <col min="12" max="12" width="8.109375" style="1" customWidth="1"/>
    <col min="13" max="14" width="11.77734375" style="1" customWidth="1"/>
    <col min="15" max="15" width="15.109375" style="1" customWidth="1"/>
    <col min="16" max="16" width="13.5546875" style="1" bestFit="1" customWidth="1"/>
    <col min="17" max="17" width="12.44140625" style="1" bestFit="1" customWidth="1"/>
    <col min="18" max="18" width="15.77734375" style="1" customWidth="1"/>
    <col min="19" max="16384" width="10.77734375" style="1"/>
  </cols>
  <sheetData>
    <row r="1" spans="1:18" ht="24" customHeight="1" x14ac:dyDescent="0.3">
      <c r="A1" s="122" t="s">
        <v>0</v>
      </c>
      <c r="B1" s="122"/>
      <c r="C1" s="122"/>
      <c r="D1" s="122"/>
      <c r="E1" s="122"/>
      <c r="F1" s="122"/>
      <c r="G1" s="122"/>
      <c r="H1" s="122"/>
      <c r="I1" s="122"/>
      <c r="J1" s="122"/>
      <c r="K1" s="122"/>
      <c r="L1" s="122"/>
      <c r="M1" s="122"/>
      <c r="N1" s="122"/>
    </row>
    <row r="2" spans="1:18" ht="60" customHeight="1" x14ac:dyDescent="0.3">
      <c r="A2" s="123" t="s">
        <v>1</v>
      </c>
      <c r="B2" s="125" t="s">
        <v>2</v>
      </c>
      <c r="C2" s="125" t="s">
        <v>3</v>
      </c>
      <c r="D2" s="125" t="s">
        <v>118</v>
      </c>
      <c r="E2" s="125" t="s">
        <v>7</v>
      </c>
      <c r="F2" s="125" t="s">
        <v>8</v>
      </c>
      <c r="G2" s="125" t="s">
        <v>381</v>
      </c>
      <c r="H2" s="125" t="s">
        <v>10</v>
      </c>
      <c r="I2" s="125" t="s">
        <v>111</v>
      </c>
      <c r="J2" s="125" t="s">
        <v>11</v>
      </c>
      <c r="K2" s="127" t="s">
        <v>391</v>
      </c>
      <c r="L2" s="128"/>
      <c r="M2" s="127" t="s">
        <v>392</v>
      </c>
      <c r="N2" s="128"/>
      <c r="O2" s="267"/>
    </row>
    <row r="3" spans="1:18" ht="30" customHeight="1" x14ac:dyDescent="0.3">
      <c r="A3" s="124"/>
      <c r="B3" s="126"/>
      <c r="C3" s="126"/>
      <c r="D3" s="126"/>
      <c r="E3" s="126"/>
      <c r="F3" s="126"/>
      <c r="G3" s="126"/>
      <c r="H3" s="126"/>
      <c r="I3" s="126"/>
      <c r="J3" s="126"/>
      <c r="K3" s="116" t="s">
        <v>382</v>
      </c>
      <c r="L3" s="4" t="s">
        <v>383</v>
      </c>
      <c r="M3" s="116" t="s">
        <v>382</v>
      </c>
      <c r="N3" s="4" t="s">
        <v>383</v>
      </c>
      <c r="O3" s="267"/>
    </row>
    <row r="4" spans="1:18" ht="24" customHeight="1" x14ac:dyDescent="0.3">
      <c r="A4" s="5" t="s">
        <v>378</v>
      </c>
      <c r="B4" s="5"/>
      <c r="C4" s="6"/>
      <c r="E4" s="9"/>
      <c r="F4" s="6"/>
      <c r="G4" s="10"/>
      <c r="H4" s="10"/>
      <c r="I4" s="11"/>
      <c r="J4" s="10"/>
      <c r="K4" s="10"/>
      <c r="L4" s="10"/>
      <c r="M4" s="71"/>
      <c r="O4" s="267"/>
      <c r="P4" s="294"/>
      <c r="Q4" s="295"/>
    </row>
    <row r="5" spans="1:18" ht="24" customHeight="1" x14ac:dyDescent="0.3">
      <c r="A5" s="12" t="s">
        <v>16</v>
      </c>
      <c r="B5" s="13">
        <v>2</v>
      </c>
      <c r="C5" s="14">
        <f>$B5*-B$32</f>
        <v>0.28599999999999998</v>
      </c>
      <c r="D5" s="17">
        <v>5.0000000000000001E-3</v>
      </c>
      <c r="E5" s="18">
        <f>B51</f>
        <v>0.66216216216216217</v>
      </c>
      <c r="F5" s="283">
        <f>C5*$D5*$E5</f>
        <v>9.4689189189189177E-4</v>
      </c>
      <c r="G5" s="20">
        <f>B65</f>
        <v>10.412132229149028</v>
      </c>
      <c r="H5" s="20">
        <f>F5*$G5*365*24/$B$50</f>
        <v>4.8629658223742211</v>
      </c>
      <c r="I5" s="18">
        <f>(B$49+B$50)*(((C$56/D5-B$58)/C$59)/B$57)</f>
        <v>1.3785171074698885E-2</v>
      </c>
      <c r="J5" s="20">
        <f>60*H5*$I5*($B$50+$B$49)/$B$50</f>
        <v>5.3810633216695107</v>
      </c>
      <c r="K5" s="20">
        <f>(($G5*365*24)/H5)/1000</f>
        <v>18.756101041815334</v>
      </c>
      <c r="L5" s="299">
        <f>($G5*365*24*60/J5)/1000</f>
        <v>1017.0139937960838</v>
      </c>
      <c r="M5" s="304">
        <f>10*H5*60/$B$68</f>
        <v>192.35967822191571</v>
      </c>
      <c r="N5" s="299">
        <f>10*J5/$B$68</f>
        <v>3.5475594073533872</v>
      </c>
      <c r="O5" s="267"/>
      <c r="P5" s="295"/>
      <c r="Q5" s="295"/>
      <c r="R5" s="295"/>
    </row>
    <row r="6" spans="1:18" ht="24" customHeight="1" x14ac:dyDescent="0.3">
      <c r="A6" s="25" t="s">
        <v>17</v>
      </c>
      <c r="B6" s="26">
        <v>2.5</v>
      </c>
      <c r="C6" s="27">
        <f>$B6*-B$32</f>
        <v>0.35749999999999998</v>
      </c>
      <c r="D6" s="30">
        <v>6.4999999999999997E-3</v>
      </c>
      <c r="E6" s="31">
        <f>E5</f>
        <v>0.66216216216216217</v>
      </c>
      <c r="F6" s="284">
        <f>C6*$D6*$E6</f>
        <v>1.5386993243243243E-3</v>
      </c>
      <c r="G6" s="33">
        <f>G5</f>
        <v>10.412132229149028</v>
      </c>
      <c r="H6" s="33">
        <f>F6*$G6*365*24/$B$50</f>
        <v>7.9023194613581111</v>
      </c>
      <c r="I6" s="31">
        <f>(B$49+B$50)*(((C$56/D6-B$58)/C$59)/B$57)</f>
        <v>1.0098935175370723E-2</v>
      </c>
      <c r="J6" s="33">
        <f>60*H6*$I6*($B$50+$B$49)/$B$50</f>
        <v>6.4059698801815781</v>
      </c>
      <c r="K6" s="33">
        <f>(($G6*365*24)/H6)/1000</f>
        <v>11.542216025732513</v>
      </c>
      <c r="L6" s="300">
        <f>($G6*365*24*60/J6)/1000</f>
        <v>854.2994740845719</v>
      </c>
      <c r="M6" s="305">
        <f>10*H6*60/$B$68</f>
        <v>312.58447711061314</v>
      </c>
      <c r="N6" s="300">
        <f>10*J6/$B$68</f>
        <v>4.2232468479129235</v>
      </c>
      <c r="O6" s="446"/>
    </row>
    <row r="7" spans="1:18" ht="24" customHeight="1" x14ac:dyDescent="0.3">
      <c r="A7" s="38" t="s">
        <v>18</v>
      </c>
      <c r="B7" s="39">
        <v>4</v>
      </c>
      <c r="C7" s="40">
        <f>$B7*-B$32</f>
        <v>0.57199999999999995</v>
      </c>
      <c r="D7" s="43">
        <v>8.0000000000000002E-3</v>
      </c>
      <c r="E7" s="121">
        <f>E6</f>
        <v>0.66216216216216217</v>
      </c>
      <c r="F7" s="285">
        <f>C7*$D7*$E7</f>
        <v>3.0300540540540537E-3</v>
      </c>
      <c r="G7" s="45">
        <f>G6</f>
        <v>10.412132229149028</v>
      </c>
      <c r="H7" s="45">
        <f>F7*$G7*365*24/$B$50</f>
        <v>15.561490631597513</v>
      </c>
      <c r="I7" s="121">
        <f t="shared" ref="I7" si="0">(B$49+B$50)*(((C$56/D7-B$58)/C$59)/B$57)</f>
        <v>7.7950377382906251E-3</v>
      </c>
      <c r="J7" s="45">
        <f>60*H7*$I7*($B$50+$B$49)/$B$50</f>
        <v>9.7369769732420313</v>
      </c>
      <c r="K7" s="45">
        <f>(($G7*365*24)/H7)/1000</f>
        <v>5.8612815755672898</v>
      </c>
      <c r="L7" s="301">
        <f>($G7*365*24*60/J7)/1000</f>
        <v>562.04474085539141</v>
      </c>
      <c r="M7" s="306">
        <f>10*H7*60/$B$68</f>
        <v>615.55097031013054</v>
      </c>
      <c r="N7" s="301">
        <f>10*J7/$B$68</f>
        <v>6.4192710986145824</v>
      </c>
      <c r="O7" s="447"/>
    </row>
    <row r="8" spans="1:18" ht="24" customHeight="1" x14ac:dyDescent="0.3">
      <c r="A8" s="5" t="s">
        <v>379</v>
      </c>
      <c r="B8" s="5"/>
      <c r="C8" s="6"/>
      <c r="E8" s="9"/>
      <c r="F8" s="286"/>
      <c r="G8" s="10"/>
      <c r="H8" s="280"/>
      <c r="I8" s="11"/>
      <c r="J8" s="10"/>
      <c r="K8" s="10"/>
      <c r="L8" s="10"/>
      <c r="M8" s="10"/>
      <c r="N8" s="10"/>
      <c r="O8" s="267"/>
      <c r="P8" s="267"/>
    </row>
    <row r="9" spans="1:18" ht="24" customHeight="1" x14ac:dyDescent="0.3">
      <c r="A9" s="12" t="s">
        <v>16</v>
      </c>
      <c r="B9" s="13">
        <v>2</v>
      </c>
      <c r="C9" s="14">
        <f>$B9*-C$32</f>
        <v>0.214</v>
      </c>
      <c r="D9" s="17">
        <f>D5</f>
        <v>5.0000000000000001E-3</v>
      </c>
      <c r="E9" s="17">
        <f>E5</f>
        <v>0.66216216216216217</v>
      </c>
      <c r="F9" s="283">
        <f>C9*$D9*$E9</f>
        <v>7.0851351351351353E-4</v>
      </c>
      <c r="G9" s="20">
        <f>G5</f>
        <v>10.412132229149028</v>
      </c>
      <c r="H9" s="20">
        <f>F9*$G5*365*24/$B$50</f>
        <v>3.6387226782800126</v>
      </c>
      <c r="I9" s="18">
        <f>(B$49+B$50)*(((C$56/D9-B$58)/C$59)/B$57)</f>
        <v>1.3785171074698885E-2</v>
      </c>
      <c r="J9" s="20">
        <f>60*H9*$I5*($B$50+$B$49)/$B$50</f>
        <v>4.0263900378925728</v>
      </c>
      <c r="K9" s="20">
        <f>($G5*365*24/H9)/1000</f>
        <v>25.066564943734505</v>
      </c>
      <c r="L9" s="299">
        <f>($G5*365*24*60/J9)/1000</f>
        <v>1359.1869262882235</v>
      </c>
      <c r="M9" s="304">
        <f>10*H9*60/$B$68</f>
        <v>143.93346552269225</v>
      </c>
      <c r="N9" s="299">
        <f>10*J9/$B$68</f>
        <v>2.6544675285791088</v>
      </c>
      <c r="O9" s="267"/>
    </row>
    <row r="10" spans="1:18" ht="24" customHeight="1" x14ac:dyDescent="0.3">
      <c r="A10" s="25" t="s">
        <v>17</v>
      </c>
      <c r="B10" s="26">
        <v>2.5</v>
      </c>
      <c r="C10" s="27">
        <f>$B10*-C$32</f>
        <v>0.26750000000000002</v>
      </c>
      <c r="D10" s="30">
        <f t="shared" ref="D10:E11" si="1">D6</f>
        <v>6.4999999999999997E-3</v>
      </c>
      <c r="E10" s="30">
        <f t="shared" si="1"/>
        <v>0.66216216216216217</v>
      </c>
      <c r="F10" s="284">
        <f>C10*$D10*$E10</f>
        <v>1.1513344594594596E-3</v>
      </c>
      <c r="G10" s="33">
        <f t="shared" ref="G10:G11" si="2">G6</f>
        <v>10.412132229149028</v>
      </c>
      <c r="H10" s="33">
        <f>F10*$G6*365*24/$B$50</f>
        <v>5.912924352205021</v>
      </c>
      <c r="I10" s="31">
        <f t="shared" ref="I10:I11" si="3">(B$49+B$50)*(((C$56/D10-B$58)/C$59)/B$57)</f>
        <v>1.0098935175370723E-2</v>
      </c>
      <c r="J10" s="33">
        <f>60*H10*$I6*($B$50+$B$49)/$B$50</f>
        <v>4.793278162093908</v>
      </c>
      <c r="K10" s="33">
        <f>($G6*365*24/H10)/1000</f>
        <v>15.425578426913543</v>
      </c>
      <c r="L10" s="300">
        <f>($G6*365*24*60/J10)/1000</f>
        <v>1141.7273345242411</v>
      </c>
      <c r="M10" s="305">
        <f>10*H10*60/$B$68</f>
        <v>233.89188147437488</v>
      </c>
      <c r="N10" s="300">
        <f>10*J10/$B$68</f>
        <v>3.1600518372495303</v>
      </c>
      <c r="O10" s="267"/>
    </row>
    <row r="11" spans="1:18" ht="24" customHeight="1" x14ac:dyDescent="0.3">
      <c r="A11" s="38" t="s">
        <v>18</v>
      </c>
      <c r="B11" s="39">
        <v>4</v>
      </c>
      <c r="C11" s="40">
        <f>$B11*-C$32</f>
        <v>0.42799999999999999</v>
      </c>
      <c r="D11" s="43">
        <f t="shared" si="1"/>
        <v>8.0000000000000002E-3</v>
      </c>
      <c r="E11" s="43">
        <f t="shared" si="1"/>
        <v>0.66216216216216217</v>
      </c>
      <c r="F11" s="285">
        <f>C11*$D11*$E11</f>
        <v>2.2672432432432432E-3</v>
      </c>
      <c r="G11" s="45">
        <f t="shared" si="2"/>
        <v>10.412132229149028</v>
      </c>
      <c r="H11" s="45">
        <f>F11*$G7*365*24/$B$50</f>
        <v>11.64391257049604</v>
      </c>
      <c r="I11" s="121">
        <f t="shared" si="3"/>
        <v>7.7950377382906251E-3</v>
      </c>
      <c r="J11" s="45">
        <f>60*H11*$I7*($B$50+$B$49)/$B$50</f>
        <v>7.2857100429153645</v>
      </c>
      <c r="K11" s="45">
        <f>($G7*365*24/H11)/1000</f>
        <v>7.8333015449170338</v>
      </c>
      <c r="L11" s="301">
        <f>($G7*365*24*60/J11)/1000</f>
        <v>751.14390600299987</v>
      </c>
      <c r="M11" s="306">
        <f>10*H11*60/$B$68</f>
        <v>460.58708967261515</v>
      </c>
      <c r="N11" s="301">
        <f>10*J11/$B$68</f>
        <v>4.8032308220402813</v>
      </c>
      <c r="O11" s="267"/>
    </row>
    <row r="12" spans="1:18" ht="24" customHeight="1" x14ac:dyDescent="0.3">
      <c r="A12" s="5" t="s">
        <v>380</v>
      </c>
      <c r="B12" s="50"/>
      <c r="C12" s="51"/>
      <c r="D12" s="120"/>
      <c r="E12" s="9"/>
      <c r="F12" s="287"/>
      <c r="G12" s="57"/>
      <c r="H12" s="57"/>
      <c r="I12" s="59"/>
      <c r="J12" s="37"/>
      <c r="K12" s="20"/>
      <c r="L12" s="296"/>
      <c r="M12" s="20"/>
      <c r="N12" s="296"/>
      <c r="O12" s="267"/>
    </row>
    <row r="13" spans="1:18" ht="24" customHeight="1" x14ac:dyDescent="0.3">
      <c r="A13" s="12" t="s">
        <v>16</v>
      </c>
      <c r="B13" s="13">
        <v>2</v>
      </c>
      <c r="C13" s="14">
        <f>$B13*-D$32</f>
        <v>0.318</v>
      </c>
      <c r="D13" s="17">
        <f t="shared" ref="D13:E15" si="4">D9</f>
        <v>5.0000000000000001E-3</v>
      </c>
      <c r="E13" s="17">
        <f t="shared" si="4"/>
        <v>0.66216216216216217</v>
      </c>
      <c r="F13" s="283">
        <f>C13*$D13*$E13</f>
        <v>1.0528378378378378E-3</v>
      </c>
      <c r="G13" s="20">
        <f>G9</f>
        <v>10.412132229149028</v>
      </c>
      <c r="H13" s="20">
        <f>F13*$G5*365*24/$B$50</f>
        <v>5.407073886416093</v>
      </c>
      <c r="I13" s="18">
        <f>(B$49+B$50)*(((C$56/D13-B$58)/C$59)/B$57)</f>
        <v>1.3785171074698885E-2</v>
      </c>
      <c r="J13" s="302">
        <f>60*H13*$I5*($B$50+$B$49)/$B$50</f>
        <v>5.9831403366814842</v>
      </c>
      <c r="K13" s="20">
        <f t="shared" ref="K13:K15" si="5">($G9*365*24/H13)/1000</f>
        <v>16.868694647670392</v>
      </c>
      <c r="L13" s="299">
        <f t="shared" ref="L13:L15" si="6">($G9*365*24*60/J13)/1000</f>
        <v>914.67296297383643</v>
      </c>
      <c r="M13" s="304">
        <f>10*H13*60/$B$68</f>
        <v>213.88243942157067</v>
      </c>
      <c r="N13" s="299">
        <f>10*J13/$B$68</f>
        <v>3.9444891312530665</v>
      </c>
      <c r="O13" s="297"/>
    </row>
    <row r="14" spans="1:18" ht="24" customHeight="1" x14ac:dyDescent="0.3">
      <c r="A14" s="25" t="s">
        <v>17</v>
      </c>
      <c r="B14" s="26">
        <v>2.5</v>
      </c>
      <c r="C14" s="27">
        <f>$B14*-D$32</f>
        <v>0.39750000000000002</v>
      </c>
      <c r="D14" s="30">
        <f t="shared" si="4"/>
        <v>6.4999999999999997E-3</v>
      </c>
      <c r="E14" s="30">
        <f t="shared" si="4"/>
        <v>0.66216216216216217</v>
      </c>
      <c r="F14" s="284">
        <f>C14*$D14*$E14</f>
        <v>1.7108614864864867E-3</v>
      </c>
      <c r="G14" s="33">
        <f t="shared" ref="G14:G15" si="7">G10</f>
        <v>10.412132229149028</v>
      </c>
      <c r="H14" s="33">
        <f>F14*$G6*365*24/$B$50</f>
        <v>8.786495065426152</v>
      </c>
      <c r="I14" s="31">
        <f t="shared" ref="I14:I15" si="8">(B$49+B$50)*(((C$56/D14-B$58)/C$59)/B$57)</f>
        <v>1.0098935175370723E-2</v>
      </c>
      <c r="J14" s="57">
        <f>60*H14*$I6*($B$50+$B$49)/$B$50</f>
        <v>7.122721754887209</v>
      </c>
      <c r="K14" s="33">
        <f t="shared" si="5"/>
        <v>10.380735167797164</v>
      </c>
      <c r="L14" s="300">
        <f t="shared" si="6"/>
        <v>768.33223140939492</v>
      </c>
      <c r="M14" s="305">
        <f>10*H14*60/$B$68</f>
        <v>347.55896406005235</v>
      </c>
      <c r="N14" s="300">
        <f>10*J14/$B$68</f>
        <v>4.6957779637633204</v>
      </c>
      <c r="O14" s="297"/>
    </row>
    <row r="15" spans="1:18" ht="24" customHeight="1" x14ac:dyDescent="0.3">
      <c r="A15" s="38" t="s">
        <v>18</v>
      </c>
      <c r="B15" s="39">
        <v>4</v>
      </c>
      <c r="C15" s="40">
        <f>$B15*-D$32</f>
        <v>0.63600000000000001</v>
      </c>
      <c r="D15" s="43">
        <f t="shared" si="4"/>
        <v>8.0000000000000002E-3</v>
      </c>
      <c r="E15" s="43">
        <f t="shared" si="4"/>
        <v>0.66216216216216217</v>
      </c>
      <c r="F15" s="285">
        <f>C15*$D15*$E15</f>
        <v>3.3690810810810814E-3</v>
      </c>
      <c r="G15" s="45">
        <f t="shared" si="7"/>
        <v>10.412132229149028</v>
      </c>
      <c r="H15" s="45">
        <f>F15*$G7*365*24/$B$50</f>
        <v>17.3026364365315</v>
      </c>
      <c r="I15" s="121">
        <f t="shared" si="8"/>
        <v>7.7950377382906251E-3</v>
      </c>
      <c r="J15" s="303">
        <f>60*H15*$I7*($B$50+$B$49)/$B$50</f>
        <v>10.826428942276104</v>
      </c>
      <c r="K15" s="45">
        <f t="shared" si="5"/>
        <v>5.2714670773969976</v>
      </c>
      <c r="L15" s="301">
        <f t="shared" si="6"/>
        <v>505.48677951145265</v>
      </c>
      <c r="M15" s="306">
        <f>10*H15*60/$B$68</f>
        <v>684.42380614902618</v>
      </c>
      <c r="N15" s="301">
        <f>10*J15/$B$68</f>
        <v>7.1375112215364931</v>
      </c>
      <c r="O15" s="297"/>
    </row>
    <row r="16" spans="1:18" ht="24" customHeight="1" x14ac:dyDescent="0.3">
      <c r="A16" s="60" t="s">
        <v>20</v>
      </c>
      <c r="B16" s="61" t="str">
        <f>A19</f>
        <v>[A]</v>
      </c>
      <c r="C16" s="62" t="str">
        <f>A20</f>
        <v>[B]</v>
      </c>
      <c r="D16" s="64" t="str">
        <f>$A21</f>
        <v>[C]</v>
      </c>
      <c r="E16" s="65" t="str">
        <f>$A22</f>
        <v>[D]</v>
      </c>
      <c r="F16" s="117" t="str">
        <f>$A23</f>
        <v>[E]</v>
      </c>
      <c r="G16" s="66" t="str">
        <f>A24</f>
        <v>[F]</v>
      </c>
      <c r="H16" s="118" t="str">
        <f>$A25</f>
        <v>[G]</v>
      </c>
      <c r="I16" s="66" t="str">
        <f>A26</f>
        <v>[H]</v>
      </c>
      <c r="J16" s="66" t="str">
        <f>$A27</f>
        <v>[I]</v>
      </c>
      <c r="K16" s="66" t="str">
        <f>A28</f>
        <v>[J]</v>
      </c>
      <c r="L16" s="66"/>
      <c r="M16" s="66"/>
      <c r="N16" s="118"/>
      <c r="O16" s="267"/>
    </row>
    <row r="17" spans="1:14" ht="24" customHeight="1" x14ac:dyDescent="0.3">
      <c r="A17" s="67" t="s">
        <v>384</v>
      </c>
      <c r="B17" s="68"/>
      <c r="C17" s="69"/>
      <c r="F17" s="70"/>
      <c r="G17" s="51"/>
      <c r="H17" s="71"/>
      <c r="I17" s="72"/>
      <c r="J17" s="72"/>
      <c r="K17" s="73"/>
      <c r="L17" s="71"/>
      <c r="M17" s="267"/>
    </row>
    <row r="18" spans="1:14" ht="24" customHeight="1" x14ac:dyDescent="0.3">
      <c r="A18" s="74" t="s">
        <v>22</v>
      </c>
      <c r="B18" s="75"/>
      <c r="C18" s="75"/>
      <c r="D18" s="75"/>
      <c r="E18" s="75"/>
      <c r="F18" s="75"/>
      <c r="G18" s="75"/>
      <c r="H18" s="75"/>
      <c r="I18" s="75"/>
      <c r="J18" s="75"/>
      <c r="K18" s="75"/>
      <c r="L18" s="75"/>
      <c r="M18" s="75"/>
      <c r="N18" s="75"/>
    </row>
    <row r="19" spans="1:14" ht="30" customHeight="1" x14ac:dyDescent="0.3">
      <c r="A19" s="76" t="s">
        <v>23</v>
      </c>
      <c r="B19" s="136" t="s">
        <v>509</v>
      </c>
      <c r="C19" s="136"/>
      <c r="D19" s="136"/>
      <c r="E19" s="136"/>
      <c r="F19" s="136"/>
      <c r="G19" s="136"/>
      <c r="H19" s="136"/>
      <c r="I19" s="136"/>
      <c r="J19" s="136"/>
      <c r="K19" s="136"/>
      <c r="L19" s="136"/>
      <c r="M19" s="136"/>
      <c r="N19" s="136"/>
    </row>
    <row r="20" spans="1:14" s="78" customFormat="1" ht="18" customHeight="1" x14ac:dyDescent="0.3">
      <c r="A20" s="76" t="s">
        <v>25</v>
      </c>
      <c r="B20" s="77" t="s">
        <v>385</v>
      </c>
      <c r="C20" s="77"/>
      <c r="D20" s="77"/>
      <c r="E20" s="77"/>
      <c r="F20" s="77"/>
      <c r="G20" s="77"/>
      <c r="H20" s="77"/>
      <c r="M20" s="298"/>
    </row>
    <row r="21" spans="1:14" s="78" customFormat="1" ht="18" customHeight="1" x14ac:dyDescent="0.3">
      <c r="A21" s="76" t="s">
        <v>27</v>
      </c>
      <c r="B21" s="77" t="s">
        <v>510</v>
      </c>
      <c r="C21" s="77"/>
      <c r="D21" s="77"/>
      <c r="E21" s="77"/>
      <c r="F21" s="77"/>
      <c r="G21" s="77"/>
      <c r="H21" s="77"/>
      <c r="M21" s="298"/>
    </row>
    <row r="22" spans="1:14" s="78" customFormat="1" ht="18" customHeight="1" x14ac:dyDescent="0.3">
      <c r="A22" s="76" t="s">
        <v>29</v>
      </c>
      <c r="B22" s="77" t="s">
        <v>386</v>
      </c>
      <c r="C22" s="77"/>
      <c r="D22" s="77"/>
      <c r="E22" s="77"/>
      <c r="F22" s="77"/>
      <c r="G22" s="77"/>
      <c r="H22" s="77"/>
      <c r="M22" s="298"/>
    </row>
    <row r="23" spans="1:14" s="78" customFormat="1" ht="18" customHeight="1" x14ac:dyDescent="0.3">
      <c r="A23" s="76" t="s">
        <v>31</v>
      </c>
      <c r="B23" s="77" t="s">
        <v>40</v>
      </c>
      <c r="C23" s="77"/>
      <c r="D23" s="77"/>
      <c r="E23" s="77"/>
      <c r="F23" s="77"/>
      <c r="G23" s="77"/>
      <c r="H23" s="77"/>
      <c r="M23" s="298"/>
    </row>
    <row r="24" spans="1:14" ht="45" customHeight="1" x14ac:dyDescent="0.3">
      <c r="A24" s="76" t="s">
        <v>33</v>
      </c>
      <c r="B24" s="136" t="s">
        <v>517</v>
      </c>
      <c r="C24" s="136"/>
      <c r="D24" s="136"/>
      <c r="E24" s="136"/>
      <c r="F24" s="136"/>
      <c r="G24" s="136"/>
      <c r="H24" s="136"/>
      <c r="I24" s="136"/>
      <c r="J24" s="136"/>
      <c r="K24" s="136"/>
      <c r="L24" s="136"/>
      <c r="M24" s="136"/>
      <c r="N24" s="136"/>
    </row>
    <row r="25" spans="1:14" ht="30" customHeight="1" x14ac:dyDescent="0.3">
      <c r="A25" s="76" t="s">
        <v>35</v>
      </c>
      <c r="B25" s="445" t="s">
        <v>44</v>
      </c>
      <c r="C25" s="445"/>
      <c r="D25" s="445"/>
      <c r="E25" s="445"/>
      <c r="F25" s="445"/>
      <c r="G25" s="445"/>
      <c r="H25" s="445"/>
      <c r="I25" s="445"/>
      <c r="J25" s="445"/>
      <c r="K25" s="445"/>
      <c r="L25" s="445"/>
      <c r="M25" s="445"/>
      <c r="N25" s="445"/>
    </row>
    <row r="26" spans="1:14" ht="60" customHeight="1" x14ac:dyDescent="0.3">
      <c r="A26" s="76" t="s">
        <v>37</v>
      </c>
      <c r="B26" s="136" t="s">
        <v>505</v>
      </c>
      <c r="C26" s="136"/>
      <c r="D26" s="136"/>
      <c r="E26" s="136"/>
      <c r="F26" s="136"/>
      <c r="G26" s="136"/>
      <c r="H26" s="136"/>
      <c r="I26" s="136"/>
      <c r="J26" s="136"/>
      <c r="K26" s="136"/>
      <c r="L26" s="136"/>
      <c r="M26" s="136"/>
      <c r="N26" s="136"/>
    </row>
    <row r="27" spans="1:14" ht="30" customHeight="1" x14ac:dyDescent="0.3">
      <c r="A27" s="76" t="s">
        <v>39</v>
      </c>
      <c r="B27" s="136" t="s">
        <v>47</v>
      </c>
      <c r="C27" s="136"/>
      <c r="D27" s="136"/>
      <c r="E27" s="136"/>
      <c r="F27" s="136"/>
      <c r="G27" s="136"/>
      <c r="H27" s="136"/>
      <c r="I27" s="136"/>
      <c r="J27" s="136"/>
      <c r="K27" s="136"/>
      <c r="L27" s="136"/>
      <c r="M27" s="136"/>
      <c r="N27" s="136"/>
    </row>
    <row r="28" spans="1:14" ht="30" customHeight="1" x14ac:dyDescent="0.3">
      <c r="A28" s="76" t="s">
        <v>41</v>
      </c>
      <c r="B28" s="136" t="s">
        <v>119</v>
      </c>
      <c r="C28" s="136"/>
      <c r="D28" s="136"/>
      <c r="E28" s="136"/>
      <c r="F28" s="136"/>
      <c r="G28" s="136"/>
      <c r="H28" s="136"/>
      <c r="I28" s="136"/>
      <c r="J28" s="136"/>
      <c r="K28" s="136"/>
      <c r="L28" s="136"/>
      <c r="M28" s="136"/>
      <c r="N28" s="136"/>
    </row>
    <row r="29" spans="1:14" s="8" customFormat="1" ht="24" customHeight="1" x14ac:dyDescent="0.3">
      <c r="A29" s="79" t="s">
        <v>48</v>
      </c>
      <c r="B29" s="75"/>
      <c r="C29" s="75"/>
      <c r="D29" s="75"/>
      <c r="E29" s="75"/>
      <c r="F29" s="75"/>
      <c r="G29" s="75"/>
      <c r="H29" s="75"/>
      <c r="I29" s="75"/>
      <c r="J29" s="75"/>
      <c r="K29" s="75"/>
      <c r="L29" s="75"/>
      <c r="M29" s="75"/>
      <c r="N29" s="75"/>
    </row>
    <row r="30" spans="1:14" ht="24" customHeight="1" x14ac:dyDescent="0.3">
      <c r="A30" s="80" t="s">
        <v>49</v>
      </c>
      <c r="B30" s="81" t="s">
        <v>50</v>
      </c>
      <c r="C30" s="82"/>
      <c r="D30" s="83"/>
      <c r="E30" s="83"/>
      <c r="F30" s="83"/>
      <c r="G30" s="83"/>
      <c r="H30" s="83"/>
      <c r="I30" s="83"/>
      <c r="J30" s="83"/>
      <c r="K30" s="83"/>
      <c r="L30" s="84"/>
      <c r="M30" s="84"/>
      <c r="N30" s="100"/>
    </row>
    <row r="31" spans="1:14" ht="24" customHeight="1" x14ac:dyDescent="0.3">
      <c r="A31" s="80"/>
      <c r="B31" s="161" t="s">
        <v>12</v>
      </c>
      <c r="C31" s="160" t="s">
        <v>387</v>
      </c>
      <c r="D31" s="85" t="s">
        <v>14</v>
      </c>
      <c r="E31" s="83"/>
      <c r="F31" s="83"/>
      <c r="G31" s="83"/>
      <c r="H31" s="83"/>
      <c r="I31" s="100"/>
      <c r="J31" s="84"/>
      <c r="K31" s="100"/>
      <c r="L31" s="100"/>
      <c r="M31" s="442"/>
      <c r="N31" s="84" t="s">
        <v>20</v>
      </c>
    </row>
    <row r="32" spans="1:14" ht="18" customHeight="1" x14ac:dyDescent="0.3">
      <c r="B32" s="282">
        <v>-0.14299999999999999</v>
      </c>
      <c r="C32" s="281">
        <v>-0.107</v>
      </c>
      <c r="D32" s="437">
        <v>-0.159</v>
      </c>
      <c r="E32" s="261" t="s">
        <v>500</v>
      </c>
      <c r="F32" s="260"/>
      <c r="G32" s="260"/>
      <c r="H32" s="260"/>
      <c r="I32" s="267"/>
      <c r="J32" s="267"/>
      <c r="K32" s="267"/>
      <c r="L32" s="293"/>
      <c r="M32" s="293"/>
      <c r="N32" s="435" t="s">
        <v>49</v>
      </c>
    </row>
    <row r="33" spans="1:18" ht="18" customHeight="1" x14ac:dyDescent="0.3">
      <c r="B33" s="93" t="str">
        <f>N32</f>
        <v>[P1]</v>
      </c>
      <c r="C33" s="443" t="s">
        <v>513</v>
      </c>
      <c r="D33" s="443"/>
      <c r="E33" s="443"/>
      <c r="F33" s="443"/>
      <c r="G33" s="443"/>
      <c r="H33" s="443"/>
      <c r="I33" s="443"/>
      <c r="J33" s="443"/>
      <c r="K33" s="443"/>
      <c r="L33" s="443"/>
      <c r="M33" s="444"/>
      <c r="N33" s="436"/>
    </row>
    <row r="34" spans="1:18" ht="24" customHeight="1" x14ac:dyDescent="0.3">
      <c r="A34" s="80" t="s">
        <v>57</v>
      </c>
      <c r="B34" s="81" t="s">
        <v>58</v>
      </c>
      <c r="C34" s="82"/>
      <c r="D34" s="83"/>
      <c r="E34" s="83"/>
      <c r="F34" s="83"/>
      <c r="G34" s="83"/>
      <c r="H34" s="83"/>
      <c r="I34" s="83"/>
      <c r="J34" s="83"/>
      <c r="K34" s="83"/>
      <c r="L34" s="83"/>
      <c r="M34" s="83"/>
      <c r="N34" s="83"/>
    </row>
    <row r="35" spans="1:18" ht="18" customHeight="1" x14ac:dyDescent="0.3">
      <c r="B35" s="139" t="s">
        <v>59</v>
      </c>
      <c r="C35" s="155"/>
      <c r="D35" s="114" t="s">
        <v>60</v>
      </c>
    </row>
    <row r="36" spans="1:18" ht="18" customHeight="1" x14ac:dyDescent="0.3">
      <c r="B36" s="95" t="s">
        <v>61</v>
      </c>
      <c r="C36" s="154"/>
      <c r="D36" s="96">
        <v>1.5</v>
      </c>
    </row>
    <row r="37" spans="1:18" ht="18" customHeight="1" x14ac:dyDescent="0.3">
      <c r="B37" s="95" t="s">
        <v>62</v>
      </c>
      <c r="C37" s="154"/>
      <c r="D37" s="96">
        <v>5.2</v>
      </c>
    </row>
    <row r="38" spans="1:18" ht="18" customHeight="1" x14ac:dyDescent="0.3">
      <c r="B38" s="95" t="s">
        <v>63</v>
      </c>
      <c r="C38" s="154"/>
      <c r="D38" s="96">
        <v>20.6</v>
      </c>
    </row>
    <row r="39" spans="1:18" ht="18" customHeight="1" x14ac:dyDescent="0.3">
      <c r="B39" s="95" t="s">
        <v>64</v>
      </c>
      <c r="C39" s="154"/>
      <c r="D39" s="96">
        <v>17.100000000000001</v>
      </c>
    </row>
    <row r="40" spans="1:18" ht="18" customHeight="1" x14ac:dyDescent="0.3">
      <c r="B40" s="95" t="s">
        <v>65</v>
      </c>
      <c r="C40" s="154"/>
      <c r="D40" s="96">
        <v>16</v>
      </c>
    </row>
    <row r="41" spans="1:18" ht="18" customHeight="1" x14ac:dyDescent="0.3">
      <c r="B41" s="95" t="s">
        <v>66</v>
      </c>
      <c r="C41" s="154"/>
      <c r="D41" s="96">
        <v>22.3</v>
      </c>
    </row>
    <row r="42" spans="1:18" ht="18" customHeight="1" x14ac:dyDescent="0.3">
      <c r="B42" s="95" t="s">
        <v>67</v>
      </c>
      <c r="C42" s="154"/>
      <c r="D42" s="97">
        <v>8.3000000000000007</v>
      </c>
    </row>
    <row r="43" spans="1:18" ht="18" customHeight="1" x14ac:dyDescent="0.3">
      <c r="B43" s="95" t="s">
        <v>68</v>
      </c>
      <c r="C43" s="154"/>
      <c r="D43" s="96">
        <v>5</v>
      </c>
    </row>
    <row r="44" spans="1:18" ht="18" customHeight="1" x14ac:dyDescent="0.3">
      <c r="B44" s="95" t="s">
        <v>69</v>
      </c>
      <c r="C44" s="154"/>
      <c r="D44" s="96">
        <v>4.0999999999999996</v>
      </c>
    </row>
    <row r="45" spans="1:18" ht="18" customHeight="1" x14ac:dyDescent="0.3">
      <c r="B45" s="95" t="s">
        <v>70</v>
      </c>
      <c r="C45" s="154"/>
      <c r="D45" s="97">
        <v>100.1</v>
      </c>
      <c r="E45" s="260"/>
      <c r="F45" s="260"/>
      <c r="G45" s="260"/>
      <c r="H45" s="260"/>
      <c r="I45" s="267"/>
      <c r="J45" s="267"/>
      <c r="K45" s="267"/>
      <c r="L45" s="267"/>
    </row>
    <row r="46" spans="1:18" ht="18" customHeight="1" x14ac:dyDescent="0.3">
      <c r="B46" s="140" t="s">
        <v>20</v>
      </c>
      <c r="C46" s="153"/>
      <c r="D46" s="98" t="s">
        <v>57</v>
      </c>
      <c r="E46" s="106"/>
      <c r="F46" s="106"/>
      <c r="G46" s="106"/>
      <c r="H46" s="106"/>
      <c r="I46" s="91"/>
      <c r="J46" s="91"/>
      <c r="K46" s="91"/>
      <c r="L46" s="91"/>
    </row>
    <row r="47" spans="1:18" ht="30" customHeight="1" x14ac:dyDescent="0.3">
      <c r="B47" s="101" t="str">
        <f>D46</f>
        <v>[P2]</v>
      </c>
      <c r="C47" s="137" t="s">
        <v>498</v>
      </c>
      <c r="D47" s="137"/>
      <c r="E47" s="137"/>
      <c r="F47" s="137"/>
      <c r="G47" s="137"/>
      <c r="H47" s="137"/>
      <c r="I47" s="137"/>
      <c r="J47" s="137"/>
      <c r="K47" s="137"/>
      <c r="L47" s="137"/>
      <c r="M47" s="137"/>
      <c r="N47" s="137"/>
      <c r="O47" s="438"/>
      <c r="P47" s="438"/>
      <c r="Q47" s="438"/>
      <c r="R47" s="438"/>
    </row>
    <row r="48" spans="1:18" ht="24" customHeight="1" x14ac:dyDescent="0.3">
      <c r="A48" s="80" t="s">
        <v>72</v>
      </c>
      <c r="B48" s="81" t="s">
        <v>73</v>
      </c>
      <c r="C48" s="82"/>
      <c r="D48" s="83"/>
      <c r="E48" s="83"/>
      <c r="F48" s="83"/>
      <c r="G48" s="83"/>
      <c r="H48" s="83"/>
      <c r="I48" s="83"/>
      <c r="J48" s="83"/>
      <c r="K48" s="83"/>
      <c r="L48" s="83"/>
      <c r="M48" s="83"/>
      <c r="N48" s="433" t="s">
        <v>20</v>
      </c>
    </row>
    <row r="49" spans="1:15" ht="18" customHeight="1" x14ac:dyDescent="0.3">
      <c r="B49" s="152">
        <v>6</v>
      </c>
      <c r="C49" s="67" t="s">
        <v>74</v>
      </c>
      <c r="N49" s="435" t="s">
        <v>72</v>
      </c>
    </row>
    <row r="50" spans="1:15" ht="18" customHeight="1" x14ac:dyDescent="0.3">
      <c r="B50" s="151">
        <v>17.760000000000002</v>
      </c>
      <c r="C50" s="67" t="s">
        <v>76</v>
      </c>
      <c r="N50" s="435" t="s">
        <v>77</v>
      </c>
    </row>
    <row r="51" spans="1:15" ht="18" customHeight="1" x14ac:dyDescent="0.3">
      <c r="B51" s="150">
        <f>1-B49/B50</f>
        <v>0.66216216216216217</v>
      </c>
      <c r="C51" s="103" t="s">
        <v>78</v>
      </c>
      <c r="D51" s="106"/>
      <c r="E51" s="106"/>
      <c r="F51" s="106"/>
      <c r="G51" s="106"/>
      <c r="H51" s="106"/>
      <c r="I51" s="91"/>
      <c r="J51" s="91"/>
      <c r="K51" s="91"/>
      <c r="L51" s="91"/>
      <c r="M51" s="91"/>
      <c r="N51" s="441" t="s">
        <v>79</v>
      </c>
    </row>
    <row r="52" spans="1:15" ht="18" customHeight="1" x14ac:dyDescent="0.3">
      <c r="B52" s="107" t="str">
        <f>N49</f>
        <v>[P3]</v>
      </c>
      <c r="C52" s="77" t="s">
        <v>511</v>
      </c>
    </row>
    <row r="53" spans="1:15" ht="18" customHeight="1" x14ac:dyDescent="0.3">
      <c r="B53" s="107" t="str">
        <f>N50</f>
        <v>[P3b]</v>
      </c>
      <c r="C53" s="77" t="s">
        <v>515</v>
      </c>
    </row>
    <row r="54" spans="1:15" ht="18" customHeight="1" x14ac:dyDescent="0.3">
      <c r="B54" s="107" t="str">
        <f>N51</f>
        <v>[P3c]</v>
      </c>
      <c r="C54" s="77" t="s">
        <v>82</v>
      </c>
    </row>
    <row r="55" spans="1:15" ht="24" customHeight="1" x14ac:dyDescent="0.3">
      <c r="A55" s="80" t="s">
        <v>83</v>
      </c>
      <c r="B55" s="288" t="s">
        <v>84</v>
      </c>
      <c r="C55" s="289"/>
      <c r="D55" s="83"/>
      <c r="E55" s="83"/>
      <c r="F55" s="83"/>
      <c r="G55" s="83"/>
      <c r="H55" s="83"/>
      <c r="I55" s="83"/>
      <c r="J55" s="83"/>
      <c r="K55" s="83"/>
      <c r="L55" s="83"/>
      <c r="M55" s="83"/>
      <c r="N55" s="433" t="s">
        <v>20</v>
      </c>
    </row>
    <row r="56" spans="1:15" ht="18" customHeight="1" x14ac:dyDescent="0.3">
      <c r="B56" s="290"/>
      <c r="C56" s="291">
        <v>141677</v>
      </c>
      <c r="D56" s="261" t="s">
        <v>388</v>
      </c>
      <c r="N56" s="435" t="s">
        <v>83</v>
      </c>
    </row>
    <row r="57" spans="1:15" ht="18" customHeight="1" x14ac:dyDescent="0.3">
      <c r="B57" s="143">
        <v>334503000</v>
      </c>
      <c r="C57" s="143"/>
      <c r="D57" s="434" t="s">
        <v>87</v>
      </c>
      <c r="N57" s="435" t="s">
        <v>88</v>
      </c>
    </row>
    <row r="58" spans="1:15" ht="18" customHeight="1" x14ac:dyDescent="0.3">
      <c r="B58" s="143">
        <v>3882167</v>
      </c>
      <c r="C58" s="148"/>
      <c r="D58" s="67" t="s">
        <v>389</v>
      </c>
      <c r="N58" s="435" t="s">
        <v>114</v>
      </c>
      <c r="O58" s="67"/>
    </row>
    <row r="59" spans="1:15" ht="18" customHeight="1" x14ac:dyDescent="0.3">
      <c r="B59" s="108"/>
      <c r="C59" s="147">
        <v>126</v>
      </c>
      <c r="D59" s="91" t="s">
        <v>504</v>
      </c>
      <c r="E59" s="106"/>
      <c r="F59" s="106"/>
      <c r="G59" s="106"/>
      <c r="H59" s="106"/>
      <c r="I59" s="91"/>
      <c r="J59" s="91"/>
      <c r="K59" s="91"/>
      <c r="L59" s="91"/>
      <c r="M59" s="91"/>
      <c r="N59" s="441" t="s">
        <v>468</v>
      </c>
    </row>
    <row r="60" spans="1:15" ht="75" customHeight="1" x14ac:dyDescent="0.3">
      <c r="B60" s="109" t="str">
        <f>N56</f>
        <v>[P4]</v>
      </c>
      <c r="C60" s="144" t="s">
        <v>512</v>
      </c>
      <c r="D60" s="144"/>
      <c r="E60" s="144"/>
      <c r="F60" s="144"/>
      <c r="G60" s="144"/>
      <c r="H60" s="144"/>
      <c r="I60" s="144"/>
      <c r="J60" s="144"/>
      <c r="K60" s="144"/>
      <c r="L60" s="144"/>
      <c r="M60" s="144"/>
      <c r="N60" s="144"/>
    </row>
    <row r="61" spans="1:15" ht="18" customHeight="1" x14ac:dyDescent="0.3">
      <c r="B61" s="109" t="str">
        <f>N57</f>
        <v>[P4b]</v>
      </c>
      <c r="C61" s="264" t="s">
        <v>516</v>
      </c>
      <c r="D61" s="260"/>
      <c r="E61" s="260"/>
      <c r="F61" s="260"/>
      <c r="G61" s="260"/>
      <c r="H61" s="260"/>
      <c r="I61" s="267"/>
      <c r="J61" s="267"/>
      <c r="K61" s="267"/>
      <c r="L61" s="267"/>
    </row>
    <row r="62" spans="1:15" ht="60" customHeight="1" x14ac:dyDescent="0.3">
      <c r="B62" s="109" t="str">
        <f>N58</f>
        <v>[P4c]</v>
      </c>
      <c r="C62" s="292" t="s">
        <v>508</v>
      </c>
      <c r="D62" s="292"/>
      <c r="E62" s="292"/>
      <c r="F62" s="292"/>
      <c r="G62" s="292"/>
      <c r="H62" s="292"/>
      <c r="I62" s="292"/>
      <c r="J62" s="292"/>
      <c r="K62" s="292"/>
      <c r="L62" s="292"/>
      <c r="M62" s="292"/>
      <c r="N62" s="292"/>
    </row>
    <row r="63" spans="1:15" ht="30" customHeight="1" x14ac:dyDescent="0.3">
      <c r="B63" s="109" t="str">
        <f>N59</f>
        <v>[P4d]</v>
      </c>
      <c r="C63" s="292" t="s">
        <v>507</v>
      </c>
      <c r="D63" s="292"/>
      <c r="E63" s="292"/>
      <c r="F63" s="292"/>
      <c r="G63" s="292"/>
      <c r="H63" s="292"/>
      <c r="I63" s="292"/>
      <c r="J63" s="292"/>
      <c r="K63" s="292"/>
      <c r="L63" s="292"/>
      <c r="M63" s="292"/>
      <c r="N63" s="292"/>
    </row>
    <row r="64" spans="1:15" ht="24" customHeight="1" x14ac:dyDescent="0.3">
      <c r="A64" s="80" t="s">
        <v>190</v>
      </c>
      <c r="B64" s="81" t="s">
        <v>191</v>
      </c>
      <c r="C64" s="82"/>
      <c r="D64" s="83"/>
      <c r="E64" s="83"/>
      <c r="F64" s="83"/>
      <c r="G64" s="83"/>
      <c r="H64" s="83"/>
      <c r="I64" s="83"/>
      <c r="J64" s="83"/>
      <c r="K64" s="83"/>
      <c r="L64" s="83"/>
      <c r="M64" s="83"/>
      <c r="N64" s="433" t="s">
        <v>20</v>
      </c>
    </row>
    <row r="65" spans="1:14" ht="24" customHeight="1" x14ac:dyDescent="0.3">
      <c r="A65" s="80"/>
      <c r="B65" s="262">
        <v>10.412132229149028</v>
      </c>
      <c r="C65" s="168" t="s">
        <v>192</v>
      </c>
      <c r="D65" s="83"/>
      <c r="E65" s="83"/>
      <c r="F65" s="83"/>
      <c r="G65" s="83"/>
      <c r="H65" s="83"/>
      <c r="I65" s="83"/>
      <c r="J65" s="83"/>
      <c r="K65" s="83"/>
      <c r="L65" s="83"/>
      <c r="M65" s="83"/>
      <c r="N65" s="440" t="s">
        <v>190</v>
      </c>
    </row>
    <row r="66" spans="1:14" ht="24" customHeight="1" x14ac:dyDescent="0.3">
      <c r="A66" s="80"/>
      <c r="B66" s="263" t="str">
        <f>N65</f>
        <v>[P5]</v>
      </c>
      <c r="C66" s="264" t="s">
        <v>499</v>
      </c>
      <c r="D66" s="260"/>
      <c r="E66" s="260"/>
      <c r="F66" s="260"/>
      <c r="G66" s="260"/>
      <c r="H66" s="260"/>
      <c r="I66" s="260"/>
      <c r="J66" s="260"/>
      <c r="K66" s="260"/>
      <c r="L66" s="87"/>
    </row>
    <row r="67" spans="1:14" ht="24" customHeight="1" x14ac:dyDescent="0.3">
      <c r="A67" s="80" t="s">
        <v>393</v>
      </c>
      <c r="B67" s="288" t="s">
        <v>394</v>
      </c>
      <c r="C67" s="82"/>
      <c r="D67" s="83"/>
      <c r="E67" s="83"/>
      <c r="F67" s="83"/>
      <c r="G67" s="83"/>
      <c r="H67" s="83"/>
      <c r="I67" s="83"/>
      <c r="J67" s="83"/>
      <c r="K67" s="83"/>
      <c r="L67" s="83"/>
      <c r="M67" s="83"/>
      <c r="N67" s="433" t="s">
        <v>20</v>
      </c>
    </row>
    <row r="68" spans="1:14" ht="24" customHeight="1" x14ac:dyDescent="0.3">
      <c r="A68" s="80"/>
      <c r="B68" s="439">
        <v>15.168352954190517</v>
      </c>
      <c r="C68" s="168" t="s">
        <v>549</v>
      </c>
      <c r="D68" s="83"/>
      <c r="E68" s="83"/>
      <c r="F68" s="83"/>
      <c r="G68" s="83"/>
      <c r="H68" s="83"/>
      <c r="I68" s="83"/>
      <c r="J68" s="83"/>
      <c r="K68" s="83"/>
      <c r="L68" s="100"/>
      <c r="M68" s="100"/>
      <c r="N68" s="440" t="s">
        <v>393</v>
      </c>
    </row>
    <row r="69" spans="1:14" ht="24" customHeight="1" x14ac:dyDescent="0.3">
      <c r="A69" s="80"/>
      <c r="B69" s="263" t="str">
        <f>N68</f>
        <v>[P6]</v>
      </c>
      <c r="C69" s="264" t="s">
        <v>514</v>
      </c>
      <c r="D69" s="260"/>
      <c r="E69" s="260"/>
      <c r="F69" s="260"/>
      <c r="G69" s="260"/>
      <c r="H69" s="260"/>
      <c r="I69" s="260"/>
      <c r="J69" s="260"/>
      <c r="K69" s="260"/>
      <c r="L69" s="87"/>
    </row>
    <row r="70" spans="1:14" s="8" customFormat="1" ht="24" customHeight="1" x14ac:dyDescent="0.3">
      <c r="A70" s="79" t="s">
        <v>92</v>
      </c>
      <c r="B70" s="75"/>
      <c r="C70" s="75"/>
      <c r="D70" s="75"/>
      <c r="E70" s="75"/>
      <c r="F70" s="75"/>
      <c r="G70" s="75"/>
      <c r="H70" s="75"/>
      <c r="I70" s="75"/>
      <c r="J70" s="75"/>
      <c r="K70" s="75"/>
      <c r="L70" s="75"/>
      <c r="M70" s="75"/>
      <c r="N70" s="75"/>
    </row>
    <row r="71" spans="1:14" s="8" customFormat="1" ht="30" customHeight="1" x14ac:dyDescent="0.3">
      <c r="A71" s="76" t="s">
        <v>93</v>
      </c>
      <c r="B71" s="145" t="s">
        <v>501</v>
      </c>
      <c r="C71" s="145"/>
      <c r="D71" s="145"/>
      <c r="E71" s="145"/>
      <c r="F71" s="145"/>
      <c r="G71" s="145"/>
      <c r="H71" s="145"/>
      <c r="I71" s="145"/>
      <c r="J71" s="145"/>
      <c r="K71" s="145"/>
      <c r="L71" s="145"/>
      <c r="M71" s="145"/>
      <c r="N71" s="145"/>
    </row>
    <row r="72" spans="1:14" s="8" customFormat="1" ht="30" customHeight="1" x14ac:dyDescent="0.3">
      <c r="A72" s="76" t="s">
        <v>95</v>
      </c>
      <c r="B72" s="145" t="s">
        <v>506</v>
      </c>
      <c r="C72" s="145"/>
      <c r="D72" s="145"/>
      <c r="E72" s="145"/>
      <c r="F72" s="145"/>
      <c r="G72" s="145"/>
      <c r="H72" s="145"/>
      <c r="I72" s="145"/>
      <c r="J72" s="145"/>
      <c r="K72" s="145"/>
      <c r="L72" s="145"/>
      <c r="M72" s="145"/>
      <c r="N72" s="145"/>
    </row>
    <row r="73" spans="1:14" s="8" customFormat="1" ht="30" customHeight="1" x14ac:dyDescent="0.3">
      <c r="A73" s="76" t="s">
        <v>97</v>
      </c>
      <c r="B73" s="145" t="s">
        <v>502</v>
      </c>
      <c r="C73" s="145"/>
      <c r="D73" s="145"/>
      <c r="E73" s="145"/>
      <c r="F73" s="145"/>
      <c r="G73" s="145"/>
      <c r="H73" s="145"/>
      <c r="I73" s="145"/>
      <c r="J73" s="145"/>
      <c r="K73" s="145"/>
      <c r="L73" s="145"/>
      <c r="M73" s="145"/>
      <c r="N73" s="145"/>
    </row>
    <row r="74" spans="1:14" s="8" customFormat="1" ht="30" customHeight="1" x14ac:dyDescent="0.3">
      <c r="A74" s="76" t="s">
        <v>99</v>
      </c>
      <c r="B74" s="145" t="s">
        <v>117</v>
      </c>
      <c r="C74" s="145"/>
      <c r="D74" s="145"/>
      <c r="E74" s="145"/>
      <c r="F74" s="145"/>
      <c r="G74" s="145"/>
      <c r="H74" s="145"/>
      <c r="I74" s="145"/>
      <c r="J74" s="145"/>
      <c r="K74" s="145"/>
      <c r="L74" s="145"/>
      <c r="M74" s="145"/>
      <c r="N74" s="145"/>
    </row>
    <row r="75" spans="1:14" s="8" customFormat="1" ht="30" customHeight="1" x14ac:dyDescent="0.3">
      <c r="A75" s="76" t="s">
        <v>101</v>
      </c>
      <c r="B75" s="145" t="s">
        <v>110</v>
      </c>
      <c r="C75" s="145"/>
      <c r="D75" s="145"/>
      <c r="E75" s="145"/>
      <c r="F75" s="145"/>
      <c r="G75" s="145"/>
      <c r="H75" s="145"/>
      <c r="I75" s="145"/>
      <c r="J75" s="145"/>
      <c r="K75" s="145"/>
      <c r="L75" s="145"/>
      <c r="M75" s="145"/>
      <c r="N75" s="145"/>
    </row>
    <row r="76" spans="1:14" s="8" customFormat="1" ht="30" customHeight="1" x14ac:dyDescent="0.3">
      <c r="A76" s="76" t="s">
        <v>103</v>
      </c>
      <c r="B76" s="145" t="s">
        <v>94</v>
      </c>
      <c r="C76" s="145"/>
      <c r="D76" s="145"/>
      <c r="E76" s="145"/>
      <c r="F76" s="145"/>
      <c r="G76" s="145"/>
      <c r="H76" s="145"/>
      <c r="I76" s="145"/>
      <c r="J76" s="145"/>
      <c r="K76" s="145"/>
      <c r="L76" s="145"/>
      <c r="M76" s="145"/>
      <c r="N76" s="145"/>
    </row>
    <row r="77" spans="1:14" s="8" customFormat="1" ht="18" customHeight="1" x14ac:dyDescent="0.3">
      <c r="A77" s="76" t="s">
        <v>105</v>
      </c>
      <c r="B77" s="110" t="s">
        <v>396</v>
      </c>
      <c r="C77" s="111"/>
    </row>
    <row r="78" spans="1:14" s="8" customFormat="1" ht="18" customHeight="1" x14ac:dyDescent="0.3">
      <c r="A78" s="76" t="s">
        <v>107</v>
      </c>
      <c r="B78" s="110" t="s">
        <v>100</v>
      </c>
      <c r="C78" s="111"/>
    </row>
    <row r="79" spans="1:14" s="8" customFormat="1" ht="30" customHeight="1" x14ac:dyDescent="0.3">
      <c r="A79" s="76" t="s">
        <v>109</v>
      </c>
      <c r="B79" s="145" t="s">
        <v>102</v>
      </c>
      <c r="C79" s="145"/>
      <c r="D79" s="145"/>
      <c r="E79" s="145"/>
      <c r="F79" s="145"/>
      <c r="G79" s="145"/>
      <c r="H79" s="145"/>
      <c r="I79" s="145"/>
      <c r="J79" s="145"/>
      <c r="K79" s="145"/>
      <c r="L79" s="145"/>
      <c r="M79" s="145"/>
      <c r="N79" s="145"/>
    </row>
    <row r="80" spans="1:14" s="8" customFormat="1" ht="30" customHeight="1" x14ac:dyDescent="0.3">
      <c r="A80" s="76" t="s">
        <v>204</v>
      </c>
      <c r="B80" s="145" t="s">
        <v>106</v>
      </c>
      <c r="C80" s="145"/>
      <c r="D80" s="145"/>
      <c r="E80" s="145"/>
      <c r="F80" s="145"/>
      <c r="G80" s="145"/>
      <c r="H80" s="145"/>
      <c r="I80" s="145"/>
      <c r="J80" s="145"/>
      <c r="K80" s="145"/>
      <c r="L80" s="145"/>
      <c r="M80" s="145"/>
      <c r="N80" s="145"/>
    </row>
    <row r="81" spans="1:14" s="8" customFormat="1" ht="45" customHeight="1" x14ac:dyDescent="0.3">
      <c r="A81" s="76" t="s">
        <v>491</v>
      </c>
      <c r="B81" s="145" t="s">
        <v>186</v>
      </c>
      <c r="C81" s="145"/>
      <c r="D81" s="145"/>
      <c r="E81" s="145"/>
      <c r="F81" s="145"/>
      <c r="G81" s="145"/>
      <c r="H81" s="145"/>
      <c r="I81" s="145"/>
      <c r="J81" s="145"/>
      <c r="K81" s="145"/>
      <c r="L81" s="145"/>
      <c r="M81" s="145"/>
      <c r="N81" s="145"/>
    </row>
    <row r="82" spans="1:14" s="8" customFormat="1" ht="30" customHeight="1" x14ac:dyDescent="0.3">
      <c r="A82" s="76" t="s">
        <v>492</v>
      </c>
      <c r="B82" s="145" t="s">
        <v>194</v>
      </c>
      <c r="C82" s="145"/>
      <c r="D82" s="145"/>
      <c r="E82" s="145"/>
      <c r="F82" s="145"/>
      <c r="G82" s="145"/>
      <c r="H82" s="145"/>
      <c r="I82" s="145"/>
      <c r="J82" s="145"/>
      <c r="K82" s="145"/>
      <c r="L82" s="145"/>
      <c r="M82" s="145"/>
      <c r="N82" s="145"/>
    </row>
    <row r="83" spans="1:14" ht="24" customHeight="1" x14ac:dyDescent="0.3"/>
  </sheetData>
  <mergeCells count="38">
    <mergeCell ref="B76:N76"/>
    <mergeCell ref="B79:N79"/>
    <mergeCell ref="B80:N80"/>
    <mergeCell ref="B82:N82"/>
    <mergeCell ref="B81:N81"/>
    <mergeCell ref="C63:N63"/>
    <mergeCell ref="B72:N72"/>
    <mergeCell ref="M2:N2"/>
    <mergeCell ref="A1:N1"/>
    <mergeCell ref="B24:N24"/>
    <mergeCell ref="B19:N19"/>
    <mergeCell ref="B25:N25"/>
    <mergeCell ref="B26:N26"/>
    <mergeCell ref="B27:N27"/>
    <mergeCell ref="B28:N28"/>
    <mergeCell ref="C47:N47"/>
    <mergeCell ref="H2:H3"/>
    <mergeCell ref="J2:J3"/>
    <mergeCell ref="K2:L2"/>
    <mergeCell ref="F2:F3"/>
    <mergeCell ref="C2:C3"/>
    <mergeCell ref="C60:N60"/>
    <mergeCell ref="C62:N62"/>
    <mergeCell ref="C33:M33"/>
    <mergeCell ref="B71:N71"/>
    <mergeCell ref="B73:N73"/>
    <mergeCell ref="B74:N74"/>
    <mergeCell ref="B75:N75"/>
    <mergeCell ref="B35:C35"/>
    <mergeCell ref="B46:C46"/>
    <mergeCell ref="B57:C57"/>
    <mergeCell ref="B58:C58"/>
    <mergeCell ref="A2:A3"/>
    <mergeCell ref="B2:B3"/>
    <mergeCell ref="D2:D3"/>
    <mergeCell ref="E2:E3"/>
    <mergeCell ref="G2:G3"/>
    <mergeCell ref="I2:I3"/>
  </mergeCells>
  <conditionalFormatting sqref="H12 H5:H7">
    <cfRule type="expression" dxfId="225" priority="109">
      <formula>#REF!="Yes"</formula>
    </cfRule>
    <cfRule type="expression" dxfId="224" priority="110">
      <formula>$A5=1</formula>
    </cfRule>
  </conditionalFormatting>
  <conditionalFormatting sqref="A5:A6 F5 F12 J5:J7">
    <cfRule type="expression" dxfId="223" priority="107">
      <formula>#REF!="Yes"</formula>
    </cfRule>
    <cfRule type="expression" dxfId="222" priority="108">
      <formula>$A5=1</formula>
    </cfRule>
  </conditionalFormatting>
  <conditionalFormatting sqref="A7">
    <cfRule type="expression" dxfId="221" priority="103">
      <formula>#REF!="Yes"</formula>
    </cfRule>
    <cfRule type="expression" dxfId="220" priority="104">
      <formula>$A7=1</formula>
    </cfRule>
  </conditionalFormatting>
  <conditionalFormatting sqref="B7">
    <cfRule type="expression" dxfId="219" priority="99">
      <formula>#REF!="Yes"</formula>
    </cfRule>
    <cfRule type="expression" dxfId="218" priority="100">
      <formula>$A7=1</formula>
    </cfRule>
  </conditionalFormatting>
  <conditionalFormatting sqref="B5:B6">
    <cfRule type="expression" dxfId="217" priority="101">
      <formula>#REF!="Yes"</formula>
    </cfRule>
    <cfRule type="expression" dxfId="216" priority="102">
      <formula>$A5=1</formula>
    </cfRule>
  </conditionalFormatting>
  <conditionalFormatting sqref="G5:G7 G12">
    <cfRule type="expression" dxfId="215" priority="97">
      <formula>#REF!="Yes"</formula>
    </cfRule>
    <cfRule type="expression" dxfId="214" priority="98">
      <formula>$A5=1</formula>
    </cfRule>
  </conditionalFormatting>
  <conditionalFormatting sqref="A15">
    <cfRule type="expression" dxfId="213" priority="79">
      <formula>#REF!="Yes"</formula>
    </cfRule>
    <cfRule type="expression" dxfId="212" priority="80">
      <formula>$A15=1</formula>
    </cfRule>
  </conditionalFormatting>
  <conditionalFormatting sqref="B13:B14">
    <cfRule type="expression" dxfId="211" priority="67">
      <formula>#REF!="Yes"</formula>
    </cfRule>
    <cfRule type="expression" dxfId="210" priority="68">
      <formula>$A13=1</formula>
    </cfRule>
  </conditionalFormatting>
  <conditionalFormatting sqref="F6:F7">
    <cfRule type="expression" dxfId="209" priority="91">
      <formula>#REF!="Yes"</formula>
    </cfRule>
    <cfRule type="expression" dxfId="208" priority="92">
      <formula>$A6=1</formula>
    </cfRule>
  </conditionalFormatting>
  <conditionalFormatting sqref="A13:A14">
    <cfRule type="expression" dxfId="207" priority="81">
      <formula>#REF!="Yes"</formula>
    </cfRule>
    <cfRule type="expression" dxfId="206" priority="82">
      <formula>$A13=1</formula>
    </cfRule>
  </conditionalFormatting>
  <conditionalFormatting sqref="J12">
    <cfRule type="expression" dxfId="205" priority="85">
      <formula>#REF!="Yes"</formula>
    </cfRule>
    <cfRule type="expression" dxfId="204" priority="86">
      <formula>$A12=1</formula>
    </cfRule>
  </conditionalFormatting>
  <conditionalFormatting sqref="H13:H15">
    <cfRule type="expression" dxfId="203" priority="83">
      <formula>#REF!="Yes"</formula>
    </cfRule>
    <cfRule type="expression" dxfId="202" priority="84">
      <formula>$A13=1</formula>
    </cfRule>
  </conditionalFormatting>
  <conditionalFormatting sqref="J13:J15">
    <cfRule type="expression" dxfId="201" priority="69">
      <formula>#REF!="Yes"</formula>
    </cfRule>
    <cfRule type="expression" dxfId="200" priority="70">
      <formula>$A13=1</formula>
    </cfRule>
  </conditionalFormatting>
  <conditionalFormatting sqref="B15">
    <cfRule type="expression" dxfId="199" priority="65">
      <formula>#REF!="Yes"</formula>
    </cfRule>
    <cfRule type="expression" dxfId="198" priority="66">
      <formula>$A15=1</formula>
    </cfRule>
  </conditionalFormatting>
  <conditionalFormatting sqref="H9:H11">
    <cfRule type="expression" dxfId="197" priority="63">
      <formula>#REF!="Yes"</formula>
    </cfRule>
    <cfRule type="expression" dxfId="196" priority="64">
      <formula>$A9=1</formula>
    </cfRule>
  </conditionalFormatting>
  <conditionalFormatting sqref="G9:G11">
    <cfRule type="expression" dxfId="195" priority="53">
      <formula>#REF!="Yes"</formula>
    </cfRule>
    <cfRule type="expression" dxfId="194" priority="54">
      <formula>$A9=1</formula>
    </cfRule>
  </conditionalFormatting>
  <conditionalFormatting sqref="J9:J11">
    <cfRule type="expression" dxfId="193" priority="45">
      <formula>#REF!="Yes"</formula>
    </cfRule>
    <cfRule type="expression" dxfId="192" priority="46">
      <formula>$A9=1</formula>
    </cfRule>
  </conditionalFormatting>
  <conditionalFormatting sqref="A9:A10">
    <cfRule type="expression" dxfId="191" priority="43">
      <formula>#REF!="Yes"</formula>
    </cfRule>
    <cfRule type="expression" dxfId="190" priority="44">
      <formula>$A9=1</formula>
    </cfRule>
  </conditionalFormatting>
  <conditionalFormatting sqref="A11">
    <cfRule type="expression" dxfId="189" priority="41">
      <formula>#REF!="Yes"</formula>
    </cfRule>
    <cfRule type="expression" dxfId="188" priority="42">
      <formula>$A11=1</formula>
    </cfRule>
  </conditionalFormatting>
  <conditionalFormatting sqref="B11">
    <cfRule type="expression" dxfId="187" priority="37">
      <formula>#REF!="Yes"</formula>
    </cfRule>
    <cfRule type="expression" dxfId="186" priority="38">
      <formula>$A11=1</formula>
    </cfRule>
  </conditionalFormatting>
  <conditionalFormatting sqref="B9:B10">
    <cfRule type="expression" dxfId="185" priority="39">
      <formula>#REF!="Yes"</formula>
    </cfRule>
    <cfRule type="expression" dxfId="184" priority="40">
      <formula>$A9=1</formula>
    </cfRule>
  </conditionalFormatting>
  <conditionalFormatting sqref="J9:J11">
    <cfRule type="expression" dxfId="183" priority="114">
      <formula>#REF!="Yes"</formula>
    </cfRule>
    <cfRule type="expression" dxfId="182" priority="115">
      <formula>$A5=1</formula>
    </cfRule>
  </conditionalFormatting>
  <conditionalFormatting sqref="J13:J15">
    <cfRule type="expression" dxfId="181" priority="116">
      <formula>#REF!="Yes"</formula>
    </cfRule>
    <cfRule type="expression" dxfId="180" priority="117">
      <formula>$A5=1</formula>
    </cfRule>
  </conditionalFormatting>
  <conditionalFormatting sqref="H9:H11">
    <cfRule type="expression" dxfId="179" priority="120">
      <formula>#REF!="Yes"</formula>
    </cfRule>
    <cfRule type="expression" dxfId="178" priority="121">
      <formula>$A5=1</formula>
    </cfRule>
  </conditionalFormatting>
  <conditionalFormatting sqref="H13:H15">
    <cfRule type="expression" dxfId="177" priority="122">
      <formula>#REF!="Yes"</formula>
    </cfRule>
    <cfRule type="expression" dxfId="176" priority="123">
      <formula>$A5=1</formula>
    </cfRule>
  </conditionalFormatting>
  <conditionalFormatting sqref="G13:G15">
    <cfRule type="expression" dxfId="175" priority="35">
      <formula>#REF!="Yes"</formula>
    </cfRule>
    <cfRule type="expression" dxfId="174" priority="36">
      <formula>$A13=1</formula>
    </cfRule>
  </conditionalFormatting>
  <conditionalFormatting sqref="F9">
    <cfRule type="expression" dxfId="173" priority="33">
      <formula>#REF!="Yes"</formula>
    </cfRule>
    <cfRule type="expression" dxfId="172" priority="34">
      <formula>$A9=1</formula>
    </cfRule>
  </conditionalFormatting>
  <conditionalFormatting sqref="F10:F11">
    <cfRule type="expression" dxfId="171" priority="31">
      <formula>#REF!="Yes"</formula>
    </cfRule>
    <cfRule type="expression" dxfId="170" priority="32">
      <formula>$A10=1</formula>
    </cfRule>
  </conditionalFormatting>
  <conditionalFormatting sqref="F13">
    <cfRule type="expression" dxfId="169" priority="29">
      <formula>#REF!="Yes"</formula>
    </cfRule>
    <cfRule type="expression" dxfId="168" priority="30">
      <formula>$A13=1</formula>
    </cfRule>
  </conditionalFormatting>
  <conditionalFormatting sqref="F14:F15">
    <cfRule type="expression" dxfId="167" priority="27">
      <formula>#REF!="Yes"</formula>
    </cfRule>
    <cfRule type="expression" dxfId="166" priority="28">
      <formula>$A14=1</formula>
    </cfRule>
  </conditionalFormatting>
  <conditionalFormatting sqref="B56">
    <cfRule type="expression" dxfId="165" priority="25">
      <formula>#REF!="Yes"</formula>
    </cfRule>
    <cfRule type="expression" dxfId="164" priority="26">
      <formula>$A56=1</formula>
    </cfRule>
  </conditionalFormatting>
  <conditionalFormatting sqref="C56">
    <cfRule type="expression" dxfId="163" priority="23">
      <formula>#REF!="Yes"</formula>
    </cfRule>
    <cfRule type="expression" dxfId="162" priority="24">
      <formula>$A56=1</formula>
    </cfRule>
  </conditionalFormatting>
  <conditionalFormatting sqref="K5:L7">
    <cfRule type="expression" dxfId="161" priority="19">
      <formula>#REF!="Yes"</formula>
    </cfRule>
    <cfRule type="expression" dxfId="160" priority="20">
      <formula>$A5=1</formula>
    </cfRule>
  </conditionalFormatting>
  <conditionalFormatting sqref="K12:L12 K9:K11 K13:K15">
    <cfRule type="expression" dxfId="159" priority="17">
      <formula>#REF!="Yes"</formula>
    </cfRule>
    <cfRule type="expression" dxfId="158" priority="18">
      <formula>$A9=1</formula>
    </cfRule>
  </conditionalFormatting>
  <conditionalFormatting sqref="L9:L11">
    <cfRule type="expression" dxfId="157" priority="15">
      <formula>#REF!="Yes"</formula>
    </cfRule>
    <cfRule type="expression" dxfId="156" priority="16">
      <formula>$A9=1</formula>
    </cfRule>
  </conditionalFormatting>
  <conditionalFormatting sqref="L13:L15">
    <cfRule type="expression" dxfId="155" priority="13">
      <formula>#REF!="Yes"</formula>
    </cfRule>
    <cfRule type="expression" dxfId="154" priority="14">
      <formula>$A13=1</formula>
    </cfRule>
  </conditionalFormatting>
  <conditionalFormatting sqref="M5:N7">
    <cfRule type="expression" dxfId="153" priority="11">
      <formula>#REF!="Yes"</formula>
    </cfRule>
    <cfRule type="expression" dxfId="152" priority="12">
      <formula>$A5=1</formula>
    </cfRule>
  </conditionalFormatting>
  <conditionalFormatting sqref="M12:N12">
    <cfRule type="expression" dxfId="151" priority="9">
      <formula>#REF!="Yes"</formula>
    </cfRule>
    <cfRule type="expression" dxfId="150" priority="10">
      <formula>$A12=1</formula>
    </cfRule>
  </conditionalFormatting>
  <conditionalFormatting sqref="M9:N11">
    <cfRule type="expression" dxfId="149" priority="3">
      <formula>#REF!="Yes"</formula>
    </cfRule>
    <cfRule type="expression" dxfId="148" priority="4">
      <formula>$A9=1</formula>
    </cfRule>
  </conditionalFormatting>
  <conditionalFormatting sqref="M13:N15">
    <cfRule type="expression" dxfId="147" priority="1">
      <formula>#REF!="Yes"</formula>
    </cfRule>
    <cfRule type="expression" dxfId="146" priority="2">
      <formula>$A13=1</formula>
    </cfRule>
  </conditionalFormatting>
  <pageMargins left="0.7" right="0.7" top="0.75" bottom="0.75" header="0.3" footer="0.3"/>
  <pageSetup orientation="portrait"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111" id="{44453965-8C04-4A27-8C7A-B2A8E7D6E714}">
            <x14:iconSet showValue="0" custom="1">
              <x14:cfvo type="percent">
                <xm:f>0</xm:f>
              </x14:cfvo>
              <x14:cfvo type="num">
                <xm:f>-1</xm:f>
              </x14:cfvo>
              <x14:cfvo type="num">
                <xm:f>1</xm:f>
              </x14:cfvo>
              <x14:cfIcon iconSet="NoIcons" iconId="0"/>
              <x14:cfIcon iconSet="NoIcons" iconId="0"/>
              <x14:cfIcon iconSet="3Flags" iconId="0"/>
            </x14:iconSet>
          </x14:cfRule>
          <xm:sqref>A16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0A73-AAE6-4844-93E0-90005D361A74}">
  <dimension ref="A16"/>
  <sheetViews>
    <sheetView workbookViewId="0"/>
  </sheetViews>
  <sheetFormatPr defaultRowHeight="14.4" x14ac:dyDescent="0.3"/>
  <sheetData>
    <row r="16" ht="12.6" customHeight="1"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FAEB1-481E-4404-AD0D-2BEDA090BB3F}">
  <dimension ref="A1:M1254"/>
  <sheetViews>
    <sheetView topLeftCell="A1224" workbookViewId="0">
      <selection activeCell="L29" sqref="L29"/>
    </sheetView>
  </sheetViews>
  <sheetFormatPr defaultRowHeight="14.4" x14ac:dyDescent="0.3"/>
  <cols>
    <col min="8" max="8" width="12.21875" customWidth="1"/>
    <col min="9" max="9" width="10" bestFit="1" customWidth="1"/>
    <col min="12" max="12" width="14.109375" customWidth="1"/>
    <col min="13" max="13" width="12" bestFit="1" customWidth="1"/>
  </cols>
  <sheetData>
    <row r="1" spans="1:13" x14ac:dyDescent="0.3">
      <c r="A1" s="268" t="s">
        <v>20</v>
      </c>
      <c r="B1" s="268" t="s">
        <v>207</v>
      </c>
      <c r="C1" s="268" t="s">
        <v>208</v>
      </c>
      <c r="D1" s="268" t="s">
        <v>209</v>
      </c>
      <c r="E1" s="268" t="s">
        <v>210</v>
      </c>
      <c r="F1" s="268" t="s">
        <v>211</v>
      </c>
      <c r="G1" t="s">
        <v>212</v>
      </c>
      <c r="H1" t="s">
        <v>213</v>
      </c>
      <c r="J1" s="269"/>
      <c r="K1" s="269"/>
      <c r="L1" s="269" t="s">
        <v>214</v>
      </c>
    </row>
    <row r="2" spans="1:13" x14ac:dyDescent="0.3">
      <c r="B2" s="268" t="s">
        <v>215</v>
      </c>
      <c r="C2" s="268" t="s">
        <v>216</v>
      </c>
      <c r="D2" s="268" t="s">
        <v>152</v>
      </c>
      <c r="E2" s="268" t="s">
        <v>217</v>
      </c>
      <c r="F2" s="268" t="s">
        <v>218</v>
      </c>
      <c r="G2">
        <v>0</v>
      </c>
      <c r="H2">
        <v>30207</v>
      </c>
      <c r="J2" s="269"/>
      <c r="K2" s="269"/>
      <c r="L2" s="270" t="s">
        <v>219</v>
      </c>
    </row>
    <row r="3" spans="1:13" x14ac:dyDescent="0.3">
      <c r="B3" s="268" t="s">
        <v>215</v>
      </c>
      <c r="C3" s="268" t="s">
        <v>216</v>
      </c>
      <c r="D3" s="268" t="s">
        <v>152</v>
      </c>
      <c r="E3" s="268" t="s">
        <v>217</v>
      </c>
      <c r="F3" s="268" t="s">
        <v>220</v>
      </c>
      <c r="G3">
        <v>1</v>
      </c>
      <c r="H3">
        <v>30041</v>
      </c>
      <c r="J3" s="269"/>
      <c r="K3" s="269"/>
      <c r="L3" s="270"/>
    </row>
    <row r="4" spans="1:13" x14ac:dyDescent="0.3">
      <c r="B4" s="268" t="s">
        <v>215</v>
      </c>
      <c r="C4" s="268" t="s">
        <v>216</v>
      </c>
      <c r="D4" s="268" t="s">
        <v>152</v>
      </c>
      <c r="E4" s="268" t="s">
        <v>217</v>
      </c>
      <c r="F4" s="268" t="s">
        <v>221</v>
      </c>
      <c r="G4">
        <v>2</v>
      </c>
      <c r="H4">
        <v>29856</v>
      </c>
      <c r="J4" s="271" t="s">
        <v>222</v>
      </c>
      <c r="K4" s="271"/>
      <c r="L4" s="272">
        <f>H1232</f>
        <v>334503458</v>
      </c>
      <c r="M4" s="273"/>
    </row>
    <row r="5" spans="1:13" x14ac:dyDescent="0.3">
      <c r="B5" s="268" t="s">
        <v>215</v>
      </c>
      <c r="C5" s="268" t="s">
        <v>216</v>
      </c>
      <c r="D5" s="268" t="s">
        <v>152</v>
      </c>
      <c r="E5" s="268" t="s">
        <v>217</v>
      </c>
      <c r="F5" s="268" t="s">
        <v>223</v>
      </c>
      <c r="G5">
        <v>3</v>
      </c>
      <c r="H5">
        <v>29653</v>
      </c>
      <c r="J5" s="274" t="s">
        <v>224</v>
      </c>
      <c r="K5" s="274"/>
      <c r="L5" s="275">
        <f>H1026</f>
        <v>255357129</v>
      </c>
    </row>
    <row r="6" spans="1:13" x14ac:dyDescent="0.3">
      <c r="B6" s="268" t="s">
        <v>215</v>
      </c>
      <c r="C6" s="268" t="s">
        <v>216</v>
      </c>
      <c r="D6" s="268" t="s">
        <v>152</v>
      </c>
      <c r="E6" s="268" t="s">
        <v>217</v>
      </c>
      <c r="F6" s="268" t="s">
        <v>225</v>
      </c>
      <c r="G6">
        <v>4</v>
      </c>
      <c r="H6">
        <v>29437</v>
      </c>
      <c r="J6" s="276" t="s">
        <v>163</v>
      </c>
      <c r="K6" s="271"/>
      <c r="L6" s="275">
        <f>H1025</f>
        <v>126882746</v>
      </c>
    </row>
    <row r="7" spans="1:13" x14ac:dyDescent="0.3">
      <c r="B7" s="268" t="s">
        <v>215</v>
      </c>
      <c r="C7" s="268" t="s">
        <v>216</v>
      </c>
      <c r="D7" s="268" t="s">
        <v>152</v>
      </c>
      <c r="E7" s="268" t="s">
        <v>217</v>
      </c>
      <c r="F7" s="268" t="s">
        <v>226</v>
      </c>
      <c r="G7">
        <v>5</v>
      </c>
      <c r="H7">
        <v>29230</v>
      </c>
      <c r="J7" s="276" t="s">
        <v>164</v>
      </c>
      <c r="K7" s="271"/>
      <c r="L7" s="272">
        <f>L5-L6</f>
        <v>128474383</v>
      </c>
    </row>
    <row r="8" spans="1:13" x14ac:dyDescent="0.3">
      <c r="B8" s="268" t="s">
        <v>215</v>
      </c>
      <c r="C8" s="268" t="s">
        <v>216</v>
      </c>
      <c r="D8" s="268" t="s">
        <v>152</v>
      </c>
      <c r="E8" s="268" t="s">
        <v>217</v>
      </c>
      <c r="F8" s="268" t="s">
        <v>227</v>
      </c>
      <c r="G8">
        <v>6</v>
      </c>
      <c r="H8">
        <v>29015</v>
      </c>
      <c r="J8" s="274" t="s">
        <v>228</v>
      </c>
      <c r="K8" s="274"/>
      <c r="L8" s="272">
        <f>H616</f>
        <v>44590475</v>
      </c>
    </row>
    <row r="9" spans="1:13" x14ac:dyDescent="0.3">
      <c r="B9" s="268" t="s">
        <v>215</v>
      </c>
      <c r="C9" s="268" t="s">
        <v>216</v>
      </c>
      <c r="D9" s="268" t="s">
        <v>152</v>
      </c>
      <c r="E9" s="268" t="s">
        <v>217</v>
      </c>
      <c r="F9" s="268" t="s">
        <v>229</v>
      </c>
      <c r="G9">
        <v>7</v>
      </c>
      <c r="H9">
        <v>32268</v>
      </c>
      <c r="J9" s="276" t="s">
        <v>163</v>
      </c>
      <c r="K9" s="271"/>
      <c r="L9" s="272">
        <f>H615</f>
        <v>21368112</v>
      </c>
    </row>
    <row r="10" spans="1:13" x14ac:dyDescent="0.3">
      <c r="B10" s="268" t="s">
        <v>215</v>
      </c>
      <c r="C10" s="268" t="s">
        <v>216</v>
      </c>
      <c r="D10" s="268" t="s">
        <v>152</v>
      </c>
      <c r="E10" s="268" t="s">
        <v>217</v>
      </c>
      <c r="F10" s="268" t="s">
        <v>230</v>
      </c>
      <c r="G10">
        <v>8</v>
      </c>
      <c r="H10">
        <v>32452</v>
      </c>
      <c r="J10" s="276" t="s">
        <v>164</v>
      </c>
      <c r="K10" s="271"/>
      <c r="L10" s="272">
        <f>L8-L9</f>
        <v>23222363</v>
      </c>
    </row>
    <row r="11" spans="1:13" x14ac:dyDescent="0.3">
      <c r="B11" s="268" t="s">
        <v>215</v>
      </c>
      <c r="C11" s="268" t="s">
        <v>216</v>
      </c>
      <c r="D11" s="268" t="s">
        <v>152</v>
      </c>
      <c r="E11" s="268" t="s">
        <v>217</v>
      </c>
      <c r="F11" s="268" t="s">
        <v>231</v>
      </c>
      <c r="G11">
        <v>9</v>
      </c>
      <c r="H11">
        <v>31801</v>
      </c>
      <c r="J11" s="274" t="s">
        <v>232</v>
      </c>
      <c r="K11" s="274"/>
      <c r="L11" s="272">
        <f>H206+H411+H1231+H821</f>
        <v>34555854</v>
      </c>
    </row>
    <row r="12" spans="1:13" x14ac:dyDescent="0.3">
      <c r="B12" s="268" t="s">
        <v>215</v>
      </c>
      <c r="C12" s="268" t="s">
        <v>216</v>
      </c>
      <c r="D12" s="268" t="s">
        <v>152</v>
      </c>
      <c r="E12" s="268" t="s">
        <v>217</v>
      </c>
      <c r="F12" s="268" t="s">
        <v>233</v>
      </c>
      <c r="G12">
        <v>10</v>
      </c>
      <c r="H12">
        <v>32230</v>
      </c>
      <c r="J12" s="276" t="s">
        <v>163</v>
      </c>
      <c r="K12" s="271"/>
      <c r="L12" s="272">
        <f>H205+H410+H1230+H820</f>
        <v>16785561</v>
      </c>
    </row>
    <row r="13" spans="1:13" x14ac:dyDescent="0.3">
      <c r="B13" s="268" t="s">
        <v>215</v>
      </c>
      <c r="C13" s="268" t="s">
        <v>216</v>
      </c>
      <c r="D13" s="268" t="s">
        <v>152</v>
      </c>
      <c r="E13" s="268" t="s">
        <v>217</v>
      </c>
      <c r="F13" s="268" t="s">
        <v>234</v>
      </c>
      <c r="G13">
        <v>11</v>
      </c>
      <c r="H13">
        <v>32090</v>
      </c>
      <c r="J13" s="276" t="s">
        <v>164</v>
      </c>
      <c r="K13" s="271"/>
      <c r="L13" s="272">
        <f>L11-L12</f>
        <v>17770293</v>
      </c>
    </row>
    <row r="14" spans="1:13" x14ac:dyDescent="0.3">
      <c r="B14" s="268" t="s">
        <v>215</v>
      </c>
      <c r="C14" s="268" t="s">
        <v>216</v>
      </c>
      <c r="D14" s="268" t="s">
        <v>152</v>
      </c>
      <c r="E14" s="268" t="s">
        <v>217</v>
      </c>
      <c r="F14" s="268" t="s">
        <v>235</v>
      </c>
      <c r="G14">
        <v>12</v>
      </c>
      <c r="H14">
        <v>33226</v>
      </c>
      <c r="J14" s="274" t="s">
        <v>236</v>
      </c>
      <c r="K14" s="274"/>
      <c r="L14" s="275">
        <f>L15+L16</f>
        <v>74128216</v>
      </c>
    </row>
    <row r="15" spans="1:13" x14ac:dyDescent="0.3">
      <c r="B15" s="268" t="s">
        <v>215</v>
      </c>
      <c r="C15" s="268" t="s">
        <v>216</v>
      </c>
      <c r="D15" s="268" t="s">
        <v>152</v>
      </c>
      <c r="E15" s="268" t="s">
        <v>217</v>
      </c>
      <c r="F15" s="268" t="s">
        <v>237</v>
      </c>
      <c r="G15">
        <v>13</v>
      </c>
      <c r="H15">
        <v>33456</v>
      </c>
      <c r="J15" s="276" t="s">
        <v>238</v>
      </c>
      <c r="K15" s="271"/>
      <c r="L15" s="272">
        <f>SUM(H2:H6,H104:H108,H207:H211,H309:H313,H412:H416,H514:H518,H617:H621,H719:H723,H822:H826,H924:H928,H1027:H1031,H1129:H1133)</f>
        <v>20567668</v>
      </c>
    </row>
    <row r="16" spans="1:13" x14ac:dyDescent="0.3">
      <c r="B16" s="268" t="s">
        <v>215</v>
      </c>
      <c r="C16" s="268" t="s">
        <v>216</v>
      </c>
      <c r="D16" s="268" t="s">
        <v>152</v>
      </c>
      <c r="E16" s="268" t="s">
        <v>217</v>
      </c>
      <c r="F16" s="268" t="s">
        <v>239</v>
      </c>
      <c r="G16">
        <v>14</v>
      </c>
      <c r="H16">
        <v>33000</v>
      </c>
      <c r="J16" s="276" t="s">
        <v>240</v>
      </c>
      <c r="K16" s="271"/>
      <c r="L16" s="272">
        <f>SUM(H7:H19,H109:H121,H212:H224,H314:H326,H417:H429,H519:H531,H622:H634,H724:H736,H827:H839,H929:H941,H1032:H1044,H1134:H1146)</f>
        <v>53560548</v>
      </c>
    </row>
    <row r="17" spans="2:12" x14ac:dyDescent="0.3">
      <c r="B17" s="268" t="s">
        <v>215</v>
      </c>
      <c r="C17" s="268" t="s">
        <v>216</v>
      </c>
      <c r="D17" s="268" t="s">
        <v>152</v>
      </c>
      <c r="E17" s="268" t="s">
        <v>217</v>
      </c>
      <c r="F17" s="268" t="s">
        <v>241</v>
      </c>
      <c r="G17">
        <v>15</v>
      </c>
      <c r="H17">
        <v>33061</v>
      </c>
      <c r="J17" s="274" t="s">
        <v>242</v>
      </c>
      <c r="K17" s="274"/>
      <c r="L17" s="275">
        <f>L18+L19</f>
        <v>203934215</v>
      </c>
    </row>
    <row r="18" spans="2:12" x14ac:dyDescent="0.3">
      <c r="B18" s="268" t="s">
        <v>215</v>
      </c>
      <c r="C18" s="268" t="s">
        <v>216</v>
      </c>
      <c r="D18" s="268" t="s">
        <v>152</v>
      </c>
      <c r="E18" s="268" t="s">
        <v>217</v>
      </c>
      <c r="F18" s="268" t="s">
        <v>243</v>
      </c>
      <c r="G18">
        <v>16</v>
      </c>
      <c r="H18">
        <v>32358</v>
      </c>
      <c r="J18" s="276" t="s">
        <v>244</v>
      </c>
      <c r="K18" s="271"/>
      <c r="L18" s="272">
        <f>SUM(H20:H31,H122:H133,H225:H236,H327:H338,H430:H441,H532:H543,H635:H646,H737:H748,H840:H851,H942:H953,H1045:H1056,H1147:H1158)</f>
        <v>54277315</v>
      </c>
    </row>
    <row r="19" spans="2:12" x14ac:dyDescent="0.3">
      <c r="B19" s="268" t="s">
        <v>215</v>
      </c>
      <c r="C19" s="268" t="s">
        <v>216</v>
      </c>
      <c r="D19" s="268" t="s">
        <v>152</v>
      </c>
      <c r="E19" s="268" t="s">
        <v>217</v>
      </c>
      <c r="F19" s="268" t="s">
        <v>245</v>
      </c>
      <c r="G19">
        <v>17</v>
      </c>
      <c r="H19">
        <v>31696</v>
      </c>
      <c r="J19" s="276" t="s">
        <v>246</v>
      </c>
      <c r="K19" s="271"/>
      <c r="L19" s="272">
        <f>SUM(H32:H66,H134:H168,H237:H271,H339:H373,H442:H476,H544:H578,H647:H681,H749:H783,H852:H886,H954:H988,H1057:H1091,H1159:H1193)</f>
        <v>149656900</v>
      </c>
    </row>
    <row r="20" spans="2:12" x14ac:dyDescent="0.3">
      <c r="B20" s="268" t="s">
        <v>215</v>
      </c>
      <c r="C20" s="268" t="s">
        <v>216</v>
      </c>
      <c r="D20" s="268" t="s">
        <v>152</v>
      </c>
      <c r="E20" s="268" t="s">
        <v>217</v>
      </c>
      <c r="F20" s="268" t="s">
        <v>247</v>
      </c>
      <c r="G20">
        <v>18</v>
      </c>
      <c r="H20">
        <v>31487</v>
      </c>
      <c r="J20" s="274" t="s">
        <v>248</v>
      </c>
      <c r="K20" s="274"/>
      <c r="L20" s="272">
        <f>SUM(H67:H102,H169:H204,H272:H307,H374:H409,H477:H512,H579:H614,H682:H717,H784:H819,H887:H922,H989:H1024,H1092:H1127,H1194:H1229)</f>
        <v>56441027</v>
      </c>
    </row>
    <row r="21" spans="2:12" x14ac:dyDescent="0.3">
      <c r="B21" s="268" t="s">
        <v>215</v>
      </c>
      <c r="C21" s="268" t="s">
        <v>216</v>
      </c>
      <c r="D21" s="268" t="s">
        <v>152</v>
      </c>
      <c r="E21" s="268" t="s">
        <v>217</v>
      </c>
      <c r="F21" s="268" t="s">
        <v>249</v>
      </c>
      <c r="G21">
        <v>19</v>
      </c>
      <c r="H21">
        <v>32036</v>
      </c>
    </row>
    <row r="22" spans="2:12" x14ac:dyDescent="0.3">
      <c r="B22" s="268" t="s">
        <v>215</v>
      </c>
      <c r="C22" s="268" t="s">
        <v>216</v>
      </c>
      <c r="D22" s="268" t="s">
        <v>152</v>
      </c>
      <c r="E22" s="268" t="s">
        <v>217</v>
      </c>
      <c r="F22" s="268" t="s">
        <v>250</v>
      </c>
      <c r="G22">
        <v>20</v>
      </c>
      <c r="H22">
        <v>32660</v>
      </c>
    </row>
    <row r="23" spans="2:12" x14ac:dyDescent="0.3">
      <c r="B23" s="268" t="s">
        <v>215</v>
      </c>
      <c r="C23" s="268" t="s">
        <v>216</v>
      </c>
      <c r="D23" s="268" t="s">
        <v>152</v>
      </c>
      <c r="E23" s="268" t="s">
        <v>217</v>
      </c>
      <c r="F23" s="268" t="s">
        <v>251</v>
      </c>
      <c r="G23">
        <v>21</v>
      </c>
      <c r="H23">
        <v>32053</v>
      </c>
    </row>
    <row r="24" spans="2:12" x14ac:dyDescent="0.3">
      <c r="B24" s="268" t="s">
        <v>215</v>
      </c>
      <c r="C24" s="268" t="s">
        <v>216</v>
      </c>
      <c r="D24" s="268" t="s">
        <v>152</v>
      </c>
      <c r="E24" s="268" t="s">
        <v>217</v>
      </c>
      <c r="F24" s="268" t="s">
        <v>252</v>
      </c>
      <c r="G24">
        <v>22</v>
      </c>
      <c r="H24">
        <v>32173</v>
      </c>
    </row>
    <row r="25" spans="2:12" x14ac:dyDescent="0.3">
      <c r="B25" s="268" t="s">
        <v>215</v>
      </c>
      <c r="C25" s="268" t="s">
        <v>216</v>
      </c>
      <c r="D25" s="268" t="s">
        <v>152</v>
      </c>
      <c r="E25" s="268" t="s">
        <v>217</v>
      </c>
      <c r="F25" s="268" t="s">
        <v>253</v>
      </c>
      <c r="G25">
        <v>23</v>
      </c>
      <c r="H25">
        <v>31768</v>
      </c>
    </row>
    <row r="26" spans="2:12" x14ac:dyDescent="0.3">
      <c r="B26" s="268" t="s">
        <v>215</v>
      </c>
      <c r="C26" s="268" t="s">
        <v>216</v>
      </c>
      <c r="D26" s="268" t="s">
        <v>152</v>
      </c>
      <c r="E26" s="268" t="s">
        <v>217</v>
      </c>
      <c r="F26" s="268" t="s">
        <v>254</v>
      </c>
      <c r="G26">
        <v>24</v>
      </c>
      <c r="H26">
        <v>31610</v>
      </c>
    </row>
    <row r="27" spans="2:12" x14ac:dyDescent="0.3">
      <c r="B27" s="268" t="s">
        <v>215</v>
      </c>
      <c r="C27" s="268" t="s">
        <v>216</v>
      </c>
      <c r="D27" s="268" t="s">
        <v>152</v>
      </c>
      <c r="E27" s="268" t="s">
        <v>217</v>
      </c>
      <c r="F27" s="268" t="s">
        <v>255</v>
      </c>
      <c r="G27">
        <v>25</v>
      </c>
      <c r="H27">
        <v>32405</v>
      </c>
    </row>
    <row r="28" spans="2:12" x14ac:dyDescent="0.3">
      <c r="B28" s="268" t="s">
        <v>215</v>
      </c>
      <c r="C28" s="268" t="s">
        <v>216</v>
      </c>
      <c r="D28" s="268" t="s">
        <v>152</v>
      </c>
      <c r="E28" s="268" t="s">
        <v>217</v>
      </c>
      <c r="F28" s="268" t="s">
        <v>256</v>
      </c>
      <c r="G28">
        <v>26</v>
      </c>
      <c r="H28">
        <v>33277</v>
      </c>
    </row>
    <row r="29" spans="2:12" x14ac:dyDescent="0.3">
      <c r="B29" s="268" t="s">
        <v>215</v>
      </c>
      <c r="C29" s="268" t="s">
        <v>216</v>
      </c>
      <c r="D29" s="268" t="s">
        <v>152</v>
      </c>
      <c r="E29" s="268" t="s">
        <v>217</v>
      </c>
      <c r="F29" s="268" t="s">
        <v>257</v>
      </c>
      <c r="G29">
        <v>27</v>
      </c>
      <c r="H29">
        <v>33979</v>
      </c>
    </row>
    <row r="30" spans="2:12" x14ac:dyDescent="0.3">
      <c r="B30" s="268" t="s">
        <v>215</v>
      </c>
      <c r="C30" s="268" t="s">
        <v>216</v>
      </c>
      <c r="D30" s="268" t="s">
        <v>152</v>
      </c>
      <c r="E30" s="268" t="s">
        <v>217</v>
      </c>
      <c r="F30" s="268" t="s">
        <v>258</v>
      </c>
      <c r="G30">
        <v>28</v>
      </c>
      <c r="H30">
        <v>34719</v>
      </c>
    </row>
    <row r="31" spans="2:12" x14ac:dyDescent="0.3">
      <c r="B31" s="268" t="s">
        <v>215</v>
      </c>
      <c r="C31" s="268" t="s">
        <v>216</v>
      </c>
      <c r="D31" s="268" t="s">
        <v>152</v>
      </c>
      <c r="E31" s="268" t="s">
        <v>217</v>
      </c>
      <c r="F31" s="268" t="s">
        <v>259</v>
      </c>
      <c r="G31">
        <v>29</v>
      </c>
      <c r="H31">
        <v>34263</v>
      </c>
    </row>
    <row r="32" spans="2:12" x14ac:dyDescent="0.3">
      <c r="B32" s="268" t="s">
        <v>215</v>
      </c>
      <c r="C32" s="268" t="s">
        <v>216</v>
      </c>
      <c r="D32" s="268" t="s">
        <v>152</v>
      </c>
      <c r="E32" s="268" t="s">
        <v>217</v>
      </c>
      <c r="F32" s="268" t="s">
        <v>260</v>
      </c>
      <c r="G32">
        <v>30</v>
      </c>
      <c r="H32">
        <v>33396</v>
      </c>
    </row>
    <row r="33" spans="2:8" x14ac:dyDescent="0.3">
      <c r="B33" s="268" t="s">
        <v>215</v>
      </c>
      <c r="C33" s="268" t="s">
        <v>216</v>
      </c>
      <c r="D33" s="268" t="s">
        <v>152</v>
      </c>
      <c r="E33" s="268" t="s">
        <v>217</v>
      </c>
      <c r="F33" s="268" t="s">
        <v>261</v>
      </c>
      <c r="G33">
        <v>31</v>
      </c>
      <c r="H33">
        <v>31553</v>
      </c>
    </row>
    <row r="34" spans="2:8" x14ac:dyDescent="0.3">
      <c r="B34" s="268" t="s">
        <v>215</v>
      </c>
      <c r="C34" s="268" t="s">
        <v>216</v>
      </c>
      <c r="D34" s="268" t="s">
        <v>152</v>
      </c>
      <c r="E34" s="268" t="s">
        <v>217</v>
      </c>
      <c r="F34" s="268" t="s">
        <v>262</v>
      </c>
      <c r="G34">
        <v>32</v>
      </c>
      <c r="H34">
        <v>30773</v>
      </c>
    </row>
    <row r="35" spans="2:8" x14ac:dyDescent="0.3">
      <c r="B35" s="268" t="s">
        <v>215</v>
      </c>
      <c r="C35" s="268" t="s">
        <v>216</v>
      </c>
      <c r="D35" s="268" t="s">
        <v>152</v>
      </c>
      <c r="E35" s="268" t="s">
        <v>217</v>
      </c>
      <c r="F35" s="268" t="s">
        <v>263</v>
      </c>
      <c r="G35">
        <v>33</v>
      </c>
      <c r="H35">
        <v>29750</v>
      </c>
    </row>
    <row r="36" spans="2:8" x14ac:dyDescent="0.3">
      <c r="B36" s="268" t="s">
        <v>215</v>
      </c>
      <c r="C36" s="268" t="s">
        <v>216</v>
      </c>
      <c r="D36" s="268" t="s">
        <v>152</v>
      </c>
      <c r="E36" s="268" t="s">
        <v>217</v>
      </c>
      <c r="F36" s="268" t="s">
        <v>264</v>
      </c>
      <c r="G36">
        <v>34</v>
      </c>
      <c r="H36">
        <v>29727</v>
      </c>
    </row>
    <row r="37" spans="2:8" x14ac:dyDescent="0.3">
      <c r="B37" s="268" t="s">
        <v>215</v>
      </c>
      <c r="C37" s="268" t="s">
        <v>216</v>
      </c>
      <c r="D37" s="268" t="s">
        <v>152</v>
      </c>
      <c r="E37" s="268" t="s">
        <v>217</v>
      </c>
      <c r="F37" s="268" t="s">
        <v>265</v>
      </c>
      <c r="G37">
        <v>35</v>
      </c>
      <c r="H37">
        <v>29697</v>
      </c>
    </row>
    <row r="38" spans="2:8" x14ac:dyDescent="0.3">
      <c r="B38" s="268" t="s">
        <v>215</v>
      </c>
      <c r="C38" s="268" t="s">
        <v>216</v>
      </c>
      <c r="D38" s="268" t="s">
        <v>152</v>
      </c>
      <c r="E38" s="268" t="s">
        <v>217</v>
      </c>
      <c r="F38" s="268" t="s">
        <v>266</v>
      </c>
      <c r="G38">
        <v>36</v>
      </c>
      <c r="H38">
        <v>28900</v>
      </c>
    </row>
    <row r="39" spans="2:8" x14ac:dyDescent="0.3">
      <c r="B39" s="268" t="s">
        <v>215</v>
      </c>
      <c r="C39" s="268" t="s">
        <v>216</v>
      </c>
      <c r="D39" s="268" t="s">
        <v>152</v>
      </c>
      <c r="E39" s="268" t="s">
        <v>217</v>
      </c>
      <c r="F39" s="268" t="s">
        <v>267</v>
      </c>
      <c r="G39">
        <v>37</v>
      </c>
      <c r="H39">
        <v>29377</v>
      </c>
    </row>
    <row r="40" spans="2:8" x14ac:dyDescent="0.3">
      <c r="B40" s="268" t="s">
        <v>215</v>
      </c>
      <c r="C40" s="268" t="s">
        <v>216</v>
      </c>
      <c r="D40" s="268" t="s">
        <v>152</v>
      </c>
      <c r="E40" s="268" t="s">
        <v>217</v>
      </c>
      <c r="F40" s="268" t="s">
        <v>268</v>
      </c>
      <c r="G40">
        <v>38</v>
      </c>
      <c r="H40">
        <v>28696</v>
      </c>
    </row>
    <row r="41" spans="2:8" x14ac:dyDescent="0.3">
      <c r="B41" s="268" t="s">
        <v>215</v>
      </c>
      <c r="C41" s="268" t="s">
        <v>216</v>
      </c>
      <c r="D41" s="268" t="s">
        <v>152</v>
      </c>
      <c r="E41" s="268" t="s">
        <v>217</v>
      </c>
      <c r="F41" s="268" t="s">
        <v>269</v>
      </c>
      <c r="G41">
        <v>39</v>
      </c>
      <c r="H41">
        <v>28686</v>
      </c>
    </row>
    <row r="42" spans="2:8" x14ac:dyDescent="0.3">
      <c r="B42" s="268" t="s">
        <v>215</v>
      </c>
      <c r="C42" s="268" t="s">
        <v>216</v>
      </c>
      <c r="D42" s="268" t="s">
        <v>152</v>
      </c>
      <c r="E42" s="268" t="s">
        <v>217</v>
      </c>
      <c r="F42" s="268" t="s">
        <v>270</v>
      </c>
      <c r="G42">
        <v>40</v>
      </c>
      <c r="H42">
        <v>29022</v>
      </c>
    </row>
    <row r="43" spans="2:8" x14ac:dyDescent="0.3">
      <c r="B43" s="268" t="s">
        <v>215</v>
      </c>
      <c r="C43" s="268" t="s">
        <v>216</v>
      </c>
      <c r="D43" s="268" t="s">
        <v>152</v>
      </c>
      <c r="E43" s="268" t="s">
        <v>217</v>
      </c>
      <c r="F43" s="268" t="s">
        <v>271</v>
      </c>
      <c r="G43">
        <v>41</v>
      </c>
      <c r="H43">
        <v>26729</v>
      </c>
    </row>
    <row r="44" spans="2:8" x14ac:dyDescent="0.3">
      <c r="B44" s="268" t="s">
        <v>215</v>
      </c>
      <c r="C44" s="268" t="s">
        <v>216</v>
      </c>
      <c r="D44" s="268" t="s">
        <v>152</v>
      </c>
      <c r="E44" s="268" t="s">
        <v>217</v>
      </c>
      <c r="F44" s="268" t="s">
        <v>272</v>
      </c>
      <c r="G44">
        <v>42</v>
      </c>
      <c r="H44">
        <v>26580</v>
      </c>
    </row>
    <row r="45" spans="2:8" x14ac:dyDescent="0.3">
      <c r="B45" s="268" t="s">
        <v>215</v>
      </c>
      <c r="C45" s="268" t="s">
        <v>216</v>
      </c>
      <c r="D45" s="268" t="s">
        <v>152</v>
      </c>
      <c r="E45" s="268" t="s">
        <v>217</v>
      </c>
      <c r="F45" s="268" t="s">
        <v>273</v>
      </c>
      <c r="G45">
        <v>43</v>
      </c>
      <c r="H45">
        <v>26229</v>
      </c>
    </row>
    <row r="46" spans="2:8" x14ac:dyDescent="0.3">
      <c r="B46" s="268" t="s">
        <v>215</v>
      </c>
      <c r="C46" s="268" t="s">
        <v>216</v>
      </c>
      <c r="D46" s="268" t="s">
        <v>152</v>
      </c>
      <c r="E46" s="268" t="s">
        <v>217</v>
      </c>
      <c r="F46" s="268" t="s">
        <v>274</v>
      </c>
      <c r="G46">
        <v>44</v>
      </c>
      <c r="H46">
        <v>25307</v>
      </c>
    </row>
    <row r="47" spans="2:8" x14ac:dyDescent="0.3">
      <c r="B47" s="268" t="s">
        <v>215</v>
      </c>
      <c r="C47" s="268" t="s">
        <v>216</v>
      </c>
      <c r="D47" s="268" t="s">
        <v>152</v>
      </c>
      <c r="E47" s="268" t="s">
        <v>217</v>
      </c>
      <c r="F47" s="268" t="s">
        <v>275</v>
      </c>
      <c r="G47">
        <v>45</v>
      </c>
      <c r="H47">
        <v>25741</v>
      </c>
    </row>
    <row r="48" spans="2:8" x14ac:dyDescent="0.3">
      <c r="B48" s="268" t="s">
        <v>215</v>
      </c>
      <c r="C48" s="268" t="s">
        <v>216</v>
      </c>
      <c r="D48" s="268" t="s">
        <v>152</v>
      </c>
      <c r="E48" s="268" t="s">
        <v>217</v>
      </c>
      <c r="F48" s="268" t="s">
        <v>276</v>
      </c>
      <c r="G48">
        <v>46</v>
      </c>
      <c r="H48">
        <v>24740</v>
      </c>
    </row>
    <row r="49" spans="2:8" x14ac:dyDescent="0.3">
      <c r="B49" s="268" t="s">
        <v>215</v>
      </c>
      <c r="C49" s="268" t="s">
        <v>216</v>
      </c>
      <c r="D49" s="268" t="s">
        <v>152</v>
      </c>
      <c r="E49" s="268" t="s">
        <v>217</v>
      </c>
      <c r="F49" s="268" t="s">
        <v>277</v>
      </c>
      <c r="G49">
        <v>47</v>
      </c>
      <c r="H49">
        <v>25016</v>
      </c>
    </row>
    <row r="50" spans="2:8" x14ac:dyDescent="0.3">
      <c r="B50" s="268" t="s">
        <v>215</v>
      </c>
      <c r="C50" s="268" t="s">
        <v>216</v>
      </c>
      <c r="D50" s="268" t="s">
        <v>152</v>
      </c>
      <c r="E50" s="268" t="s">
        <v>217</v>
      </c>
      <c r="F50" s="268" t="s">
        <v>278</v>
      </c>
      <c r="G50">
        <v>48</v>
      </c>
      <c r="H50">
        <v>24963</v>
      </c>
    </row>
    <row r="51" spans="2:8" x14ac:dyDescent="0.3">
      <c r="B51" s="268" t="s">
        <v>215</v>
      </c>
      <c r="C51" s="268" t="s">
        <v>216</v>
      </c>
      <c r="D51" s="268" t="s">
        <v>152</v>
      </c>
      <c r="E51" s="268" t="s">
        <v>217</v>
      </c>
      <c r="F51" s="268" t="s">
        <v>279</v>
      </c>
      <c r="G51">
        <v>49</v>
      </c>
      <c r="H51">
        <v>25821</v>
      </c>
    </row>
    <row r="52" spans="2:8" x14ac:dyDescent="0.3">
      <c r="B52" s="268" t="s">
        <v>215</v>
      </c>
      <c r="C52" s="268" t="s">
        <v>216</v>
      </c>
      <c r="D52" s="268" t="s">
        <v>152</v>
      </c>
      <c r="E52" s="268" t="s">
        <v>217</v>
      </c>
      <c r="F52" s="268" t="s">
        <v>280</v>
      </c>
      <c r="G52">
        <v>50</v>
      </c>
      <c r="H52">
        <v>25554</v>
      </c>
    </row>
    <row r="53" spans="2:8" x14ac:dyDescent="0.3">
      <c r="B53" s="268" t="s">
        <v>215</v>
      </c>
      <c r="C53" s="268" t="s">
        <v>216</v>
      </c>
      <c r="D53" s="268" t="s">
        <v>152</v>
      </c>
      <c r="E53" s="268" t="s">
        <v>217</v>
      </c>
      <c r="F53" s="268" t="s">
        <v>281</v>
      </c>
      <c r="G53">
        <v>51</v>
      </c>
      <c r="H53">
        <v>24186</v>
      </c>
    </row>
    <row r="54" spans="2:8" x14ac:dyDescent="0.3">
      <c r="B54" s="268" t="s">
        <v>215</v>
      </c>
      <c r="C54" s="268" t="s">
        <v>216</v>
      </c>
      <c r="D54" s="268" t="s">
        <v>152</v>
      </c>
      <c r="E54" s="268" t="s">
        <v>217</v>
      </c>
      <c r="F54" s="268" t="s">
        <v>282</v>
      </c>
      <c r="G54">
        <v>52</v>
      </c>
      <c r="H54">
        <v>23681</v>
      </c>
    </row>
    <row r="55" spans="2:8" x14ac:dyDescent="0.3">
      <c r="B55" s="268" t="s">
        <v>215</v>
      </c>
      <c r="C55" s="268" t="s">
        <v>216</v>
      </c>
      <c r="D55" s="268" t="s">
        <v>152</v>
      </c>
      <c r="E55" s="268" t="s">
        <v>217</v>
      </c>
      <c r="F55" s="268" t="s">
        <v>283</v>
      </c>
      <c r="G55">
        <v>53</v>
      </c>
      <c r="H55">
        <v>23593</v>
      </c>
    </row>
    <row r="56" spans="2:8" x14ac:dyDescent="0.3">
      <c r="B56" s="268" t="s">
        <v>215</v>
      </c>
      <c r="C56" s="268" t="s">
        <v>216</v>
      </c>
      <c r="D56" s="268" t="s">
        <v>152</v>
      </c>
      <c r="E56" s="268" t="s">
        <v>217</v>
      </c>
      <c r="F56" s="268" t="s">
        <v>284</v>
      </c>
      <c r="G56">
        <v>54</v>
      </c>
      <c r="H56">
        <v>23902</v>
      </c>
    </row>
    <row r="57" spans="2:8" x14ac:dyDescent="0.3">
      <c r="B57" s="268" t="s">
        <v>215</v>
      </c>
      <c r="C57" s="268" t="s">
        <v>216</v>
      </c>
      <c r="D57" s="268" t="s">
        <v>152</v>
      </c>
      <c r="E57" s="268" t="s">
        <v>217</v>
      </c>
      <c r="F57" s="268" t="s">
        <v>285</v>
      </c>
      <c r="G57">
        <v>55</v>
      </c>
      <c r="H57">
        <v>25014</v>
      </c>
    </row>
    <row r="58" spans="2:8" x14ac:dyDescent="0.3">
      <c r="B58" s="268" t="s">
        <v>215</v>
      </c>
      <c r="C58" s="268" t="s">
        <v>216</v>
      </c>
      <c r="D58" s="268" t="s">
        <v>152</v>
      </c>
      <c r="E58" s="268" t="s">
        <v>217</v>
      </c>
      <c r="F58" s="268" t="s">
        <v>286</v>
      </c>
      <c r="G58">
        <v>56</v>
      </c>
      <c r="H58">
        <v>24957</v>
      </c>
    </row>
    <row r="59" spans="2:8" x14ac:dyDescent="0.3">
      <c r="B59" s="268" t="s">
        <v>215</v>
      </c>
      <c r="C59" s="268" t="s">
        <v>216</v>
      </c>
      <c r="D59" s="268" t="s">
        <v>152</v>
      </c>
      <c r="E59" s="268" t="s">
        <v>217</v>
      </c>
      <c r="F59" s="268" t="s">
        <v>287</v>
      </c>
      <c r="G59">
        <v>57</v>
      </c>
      <c r="H59">
        <v>24482</v>
      </c>
    </row>
    <row r="60" spans="2:8" x14ac:dyDescent="0.3">
      <c r="B60" s="268" t="s">
        <v>215</v>
      </c>
      <c r="C60" s="268" t="s">
        <v>216</v>
      </c>
      <c r="D60" s="268" t="s">
        <v>152</v>
      </c>
      <c r="E60" s="268" t="s">
        <v>217</v>
      </c>
      <c r="F60" s="268" t="s">
        <v>288</v>
      </c>
      <c r="G60">
        <v>58</v>
      </c>
      <c r="H60">
        <v>24272</v>
      </c>
    </row>
    <row r="61" spans="2:8" x14ac:dyDescent="0.3">
      <c r="B61" s="268" t="s">
        <v>215</v>
      </c>
      <c r="C61" s="268" t="s">
        <v>216</v>
      </c>
      <c r="D61" s="268" t="s">
        <v>152</v>
      </c>
      <c r="E61" s="268" t="s">
        <v>217</v>
      </c>
      <c r="F61" s="268" t="s">
        <v>289</v>
      </c>
      <c r="G61">
        <v>59</v>
      </c>
      <c r="H61">
        <v>24088</v>
      </c>
    </row>
    <row r="62" spans="2:8" x14ac:dyDescent="0.3">
      <c r="B62" s="268" t="s">
        <v>215</v>
      </c>
      <c r="C62" s="268" t="s">
        <v>216</v>
      </c>
      <c r="D62" s="268" t="s">
        <v>152</v>
      </c>
      <c r="E62" s="268" t="s">
        <v>217</v>
      </c>
      <c r="F62" s="268" t="s">
        <v>290</v>
      </c>
      <c r="G62">
        <v>60</v>
      </c>
      <c r="H62">
        <v>24169</v>
      </c>
    </row>
    <row r="63" spans="2:8" x14ac:dyDescent="0.3">
      <c r="B63" s="268" t="s">
        <v>215</v>
      </c>
      <c r="C63" s="268" t="s">
        <v>216</v>
      </c>
      <c r="D63" s="268" t="s">
        <v>152</v>
      </c>
      <c r="E63" s="268" t="s">
        <v>217</v>
      </c>
      <c r="F63" s="268" t="s">
        <v>291</v>
      </c>
      <c r="G63">
        <v>61</v>
      </c>
      <c r="H63">
        <v>22664</v>
      </c>
    </row>
    <row r="64" spans="2:8" x14ac:dyDescent="0.3">
      <c r="B64" s="268" t="s">
        <v>215</v>
      </c>
      <c r="C64" s="268" t="s">
        <v>216</v>
      </c>
      <c r="D64" s="268" t="s">
        <v>152</v>
      </c>
      <c r="E64" s="268" t="s">
        <v>217</v>
      </c>
      <c r="F64" s="268" t="s">
        <v>292</v>
      </c>
      <c r="G64">
        <v>62</v>
      </c>
      <c r="H64">
        <v>21971</v>
      </c>
    </row>
    <row r="65" spans="2:8" x14ac:dyDescent="0.3">
      <c r="B65" s="268" t="s">
        <v>215</v>
      </c>
      <c r="C65" s="268" t="s">
        <v>216</v>
      </c>
      <c r="D65" s="268" t="s">
        <v>152</v>
      </c>
      <c r="E65" s="268" t="s">
        <v>217</v>
      </c>
      <c r="F65" s="268" t="s">
        <v>293</v>
      </c>
      <c r="G65">
        <v>63</v>
      </c>
      <c r="H65">
        <v>21221</v>
      </c>
    </row>
    <row r="66" spans="2:8" x14ac:dyDescent="0.3">
      <c r="B66" s="268" t="s">
        <v>215</v>
      </c>
      <c r="C66" s="268" t="s">
        <v>216</v>
      </c>
      <c r="D66" s="268" t="s">
        <v>152</v>
      </c>
      <c r="E66" s="268" t="s">
        <v>217</v>
      </c>
      <c r="F66" s="268" t="s">
        <v>294</v>
      </c>
      <c r="G66">
        <v>64</v>
      </c>
      <c r="H66">
        <v>20430</v>
      </c>
    </row>
    <row r="67" spans="2:8" x14ac:dyDescent="0.3">
      <c r="B67" s="268" t="s">
        <v>215</v>
      </c>
      <c r="C67" s="268" t="s">
        <v>216</v>
      </c>
      <c r="D67" s="268" t="s">
        <v>152</v>
      </c>
      <c r="E67" s="268" t="s">
        <v>217</v>
      </c>
      <c r="F67" s="268" t="s">
        <v>295</v>
      </c>
      <c r="G67">
        <v>65</v>
      </c>
      <c r="H67">
        <v>19369</v>
      </c>
    </row>
    <row r="68" spans="2:8" x14ac:dyDescent="0.3">
      <c r="B68" s="268" t="s">
        <v>215</v>
      </c>
      <c r="C68" s="268" t="s">
        <v>216</v>
      </c>
      <c r="D68" s="268" t="s">
        <v>152</v>
      </c>
      <c r="E68" s="268" t="s">
        <v>217</v>
      </c>
      <c r="F68" s="268" t="s">
        <v>296</v>
      </c>
      <c r="G68">
        <v>66</v>
      </c>
      <c r="H68">
        <v>18070</v>
      </c>
    </row>
    <row r="69" spans="2:8" x14ac:dyDescent="0.3">
      <c r="B69" s="268" t="s">
        <v>215</v>
      </c>
      <c r="C69" s="268" t="s">
        <v>216</v>
      </c>
      <c r="D69" s="268" t="s">
        <v>152</v>
      </c>
      <c r="E69" s="268" t="s">
        <v>217</v>
      </c>
      <c r="F69" s="268" t="s">
        <v>297</v>
      </c>
      <c r="G69">
        <v>67</v>
      </c>
      <c r="H69">
        <v>16810</v>
      </c>
    </row>
    <row r="70" spans="2:8" x14ac:dyDescent="0.3">
      <c r="B70" s="268" t="s">
        <v>215</v>
      </c>
      <c r="C70" s="268" t="s">
        <v>216</v>
      </c>
      <c r="D70" s="268" t="s">
        <v>152</v>
      </c>
      <c r="E70" s="268" t="s">
        <v>217</v>
      </c>
      <c r="F70" s="268" t="s">
        <v>298</v>
      </c>
      <c r="G70">
        <v>68</v>
      </c>
      <c r="H70">
        <v>15667</v>
      </c>
    </row>
    <row r="71" spans="2:8" x14ac:dyDescent="0.3">
      <c r="B71" s="268" t="s">
        <v>215</v>
      </c>
      <c r="C71" s="268" t="s">
        <v>216</v>
      </c>
      <c r="D71" s="268" t="s">
        <v>152</v>
      </c>
      <c r="E71" s="268" t="s">
        <v>217</v>
      </c>
      <c r="F71" s="268" t="s">
        <v>299</v>
      </c>
      <c r="G71">
        <v>69</v>
      </c>
      <c r="H71">
        <v>15003</v>
      </c>
    </row>
    <row r="72" spans="2:8" x14ac:dyDescent="0.3">
      <c r="B72" s="268" t="s">
        <v>215</v>
      </c>
      <c r="C72" s="268" t="s">
        <v>216</v>
      </c>
      <c r="D72" s="268" t="s">
        <v>152</v>
      </c>
      <c r="E72" s="268" t="s">
        <v>217</v>
      </c>
      <c r="F72" s="268" t="s">
        <v>300</v>
      </c>
      <c r="G72">
        <v>70</v>
      </c>
      <c r="H72">
        <v>14269</v>
      </c>
    </row>
    <row r="73" spans="2:8" x14ac:dyDescent="0.3">
      <c r="B73" s="268" t="s">
        <v>215</v>
      </c>
      <c r="C73" s="268" t="s">
        <v>216</v>
      </c>
      <c r="D73" s="268" t="s">
        <v>152</v>
      </c>
      <c r="E73" s="268" t="s">
        <v>217</v>
      </c>
      <c r="F73" s="268" t="s">
        <v>301</v>
      </c>
      <c r="G73">
        <v>71</v>
      </c>
      <c r="H73">
        <v>13203</v>
      </c>
    </row>
    <row r="74" spans="2:8" x14ac:dyDescent="0.3">
      <c r="B74" s="268" t="s">
        <v>215</v>
      </c>
      <c r="C74" s="268" t="s">
        <v>216</v>
      </c>
      <c r="D74" s="268" t="s">
        <v>152</v>
      </c>
      <c r="E74" s="268" t="s">
        <v>217</v>
      </c>
      <c r="F74" s="268" t="s">
        <v>302</v>
      </c>
      <c r="G74">
        <v>72</v>
      </c>
      <c r="H74">
        <v>12432</v>
      </c>
    </row>
    <row r="75" spans="2:8" x14ac:dyDescent="0.3">
      <c r="B75" s="268" t="s">
        <v>215</v>
      </c>
      <c r="C75" s="268" t="s">
        <v>216</v>
      </c>
      <c r="D75" s="268" t="s">
        <v>152</v>
      </c>
      <c r="E75" s="268" t="s">
        <v>217</v>
      </c>
      <c r="F75" s="268" t="s">
        <v>303</v>
      </c>
      <c r="G75">
        <v>73</v>
      </c>
      <c r="H75">
        <v>12044</v>
      </c>
    </row>
    <row r="76" spans="2:8" x14ac:dyDescent="0.3">
      <c r="B76" s="268" t="s">
        <v>215</v>
      </c>
      <c r="C76" s="268" t="s">
        <v>216</v>
      </c>
      <c r="D76" s="268" t="s">
        <v>152</v>
      </c>
      <c r="E76" s="268" t="s">
        <v>217</v>
      </c>
      <c r="F76" s="268" t="s">
        <v>304</v>
      </c>
      <c r="G76">
        <v>74</v>
      </c>
      <c r="H76">
        <v>9495</v>
      </c>
    </row>
    <row r="77" spans="2:8" x14ac:dyDescent="0.3">
      <c r="B77" s="268" t="s">
        <v>215</v>
      </c>
      <c r="C77" s="268" t="s">
        <v>216</v>
      </c>
      <c r="D77" s="268" t="s">
        <v>152</v>
      </c>
      <c r="E77" s="268" t="s">
        <v>217</v>
      </c>
      <c r="F77" s="268" t="s">
        <v>305</v>
      </c>
      <c r="G77">
        <v>75</v>
      </c>
      <c r="H77">
        <v>9082</v>
      </c>
    </row>
    <row r="78" spans="2:8" x14ac:dyDescent="0.3">
      <c r="B78" s="268" t="s">
        <v>215</v>
      </c>
      <c r="C78" s="268" t="s">
        <v>216</v>
      </c>
      <c r="D78" s="268" t="s">
        <v>152</v>
      </c>
      <c r="E78" s="268" t="s">
        <v>217</v>
      </c>
      <c r="F78" s="268" t="s">
        <v>306</v>
      </c>
      <c r="G78">
        <v>76</v>
      </c>
      <c r="H78">
        <v>8390</v>
      </c>
    </row>
    <row r="79" spans="2:8" x14ac:dyDescent="0.3">
      <c r="B79" s="268" t="s">
        <v>215</v>
      </c>
      <c r="C79" s="268" t="s">
        <v>216</v>
      </c>
      <c r="D79" s="268" t="s">
        <v>152</v>
      </c>
      <c r="E79" s="268" t="s">
        <v>217</v>
      </c>
      <c r="F79" s="268" t="s">
        <v>307</v>
      </c>
      <c r="G79">
        <v>77</v>
      </c>
      <c r="H79">
        <v>7848</v>
      </c>
    </row>
    <row r="80" spans="2:8" x14ac:dyDescent="0.3">
      <c r="B80" s="268" t="s">
        <v>215</v>
      </c>
      <c r="C80" s="268" t="s">
        <v>216</v>
      </c>
      <c r="D80" s="268" t="s">
        <v>152</v>
      </c>
      <c r="E80" s="268" t="s">
        <v>217</v>
      </c>
      <c r="F80" s="268" t="s">
        <v>308</v>
      </c>
      <c r="G80">
        <v>78</v>
      </c>
      <c r="H80">
        <v>6876</v>
      </c>
    </row>
    <row r="81" spans="2:8" x14ac:dyDescent="0.3">
      <c r="B81" s="268" t="s">
        <v>215</v>
      </c>
      <c r="C81" s="268" t="s">
        <v>216</v>
      </c>
      <c r="D81" s="268" t="s">
        <v>152</v>
      </c>
      <c r="E81" s="268" t="s">
        <v>217</v>
      </c>
      <c r="F81" s="268" t="s">
        <v>309</v>
      </c>
      <c r="G81">
        <v>79</v>
      </c>
      <c r="H81">
        <v>6244</v>
      </c>
    </row>
    <row r="82" spans="2:8" x14ac:dyDescent="0.3">
      <c r="B82" s="268" t="s">
        <v>215</v>
      </c>
      <c r="C82" s="268" t="s">
        <v>216</v>
      </c>
      <c r="D82" s="268" t="s">
        <v>152</v>
      </c>
      <c r="E82" s="268" t="s">
        <v>217</v>
      </c>
      <c r="F82" s="268" t="s">
        <v>310</v>
      </c>
      <c r="G82">
        <v>80</v>
      </c>
      <c r="H82">
        <v>5851</v>
      </c>
    </row>
    <row r="83" spans="2:8" x14ac:dyDescent="0.3">
      <c r="B83" s="268" t="s">
        <v>215</v>
      </c>
      <c r="C83" s="268" t="s">
        <v>216</v>
      </c>
      <c r="D83" s="268" t="s">
        <v>152</v>
      </c>
      <c r="E83" s="268" t="s">
        <v>217</v>
      </c>
      <c r="F83" s="268" t="s">
        <v>311</v>
      </c>
      <c r="G83">
        <v>81</v>
      </c>
      <c r="H83">
        <v>5129</v>
      </c>
    </row>
    <row r="84" spans="2:8" x14ac:dyDescent="0.3">
      <c r="B84" s="268" t="s">
        <v>215</v>
      </c>
      <c r="C84" s="268" t="s">
        <v>216</v>
      </c>
      <c r="D84" s="268" t="s">
        <v>152</v>
      </c>
      <c r="E84" s="268" t="s">
        <v>217</v>
      </c>
      <c r="F84" s="268" t="s">
        <v>312</v>
      </c>
      <c r="G84">
        <v>82</v>
      </c>
      <c r="H84">
        <v>4830</v>
      </c>
    </row>
    <row r="85" spans="2:8" x14ac:dyDescent="0.3">
      <c r="B85" s="268" t="s">
        <v>215</v>
      </c>
      <c r="C85" s="268" t="s">
        <v>216</v>
      </c>
      <c r="D85" s="268" t="s">
        <v>152</v>
      </c>
      <c r="E85" s="268" t="s">
        <v>217</v>
      </c>
      <c r="F85" s="268" t="s">
        <v>313</v>
      </c>
      <c r="G85">
        <v>83</v>
      </c>
      <c r="H85">
        <v>4182</v>
      </c>
    </row>
    <row r="86" spans="2:8" x14ac:dyDescent="0.3">
      <c r="B86" s="268" t="s">
        <v>215</v>
      </c>
      <c r="C86" s="268" t="s">
        <v>216</v>
      </c>
      <c r="D86" s="268" t="s">
        <v>152</v>
      </c>
      <c r="E86" s="268" t="s">
        <v>217</v>
      </c>
      <c r="F86" s="268" t="s">
        <v>314</v>
      </c>
      <c r="G86">
        <v>84</v>
      </c>
      <c r="H86">
        <v>3859</v>
      </c>
    </row>
    <row r="87" spans="2:8" x14ac:dyDescent="0.3">
      <c r="B87" s="268" t="s">
        <v>215</v>
      </c>
      <c r="C87" s="268" t="s">
        <v>216</v>
      </c>
      <c r="D87" s="268" t="s">
        <v>152</v>
      </c>
      <c r="E87" s="268" t="s">
        <v>217</v>
      </c>
      <c r="F87" s="268" t="s">
        <v>315</v>
      </c>
      <c r="G87">
        <v>85</v>
      </c>
      <c r="H87">
        <v>3512</v>
      </c>
    </row>
    <row r="88" spans="2:8" x14ac:dyDescent="0.3">
      <c r="B88" s="268" t="s">
        <v>215</v>
      </c>
      <c r="C88" s="268" t="s">
        <v>216</v>
      </c>
      <c r="D88" s="268" t="s">
        <v>152</v>
      </c>
      <c r="E88" s="268" t="s">
        <v>217</v>
      </c>
      <c r="F88" s="268" t="s">
        <v>316</v>
      </c>
      <c r="G88">
        <v>86</v>
      </c>
      <c r="H88">
        <v>2896</v>
      </c>
    </row>
    <row r="89" spans="2:8" x14ac:dyDescent="0.3">
      <c r="B89" s="268" t="s">
        <v>215</v>
      </c>
      <c r="C89" s="268" t="s">
        <v>216</v>
      </c>
      <c r="D89" s="268" t="s">
        <v>152</v>
      </c>
      <c r="E89" s="268" t="s">
        <v>217</v>
      </c>
      <c r="F89" s="268" t="s">
        <v>317</v>
      </c>
      <c r="G89">
        <v>87</v>
      </c>
      <c r="H89">
        <v>2647</v>
      </c>
    </row>
    <row r="90" spans="2:8" x14ac:dyDescent="0.3">
      <c r="B90" s="268" t="s">
        <v>215</v>
      </c>
      <c r="C90" s="268" t="s">
        <v>216</v>
      </c>
      <c r="D90" s="268" t="s">
        <v>152</v>
      </c>
      <c r="E90" s="268" t="s">
        <v>217</v>
      </c>
      <c r="F90" s="268" t="s">
        <v>318</v>
      </c>
      <c r="G90">
        <v>88</v>
      </c>
      <c r="H90">
        <v>2317</v>
      </c>
    </row>
    <row r="91" spans="2:8" x14ac:dyDescent="0.3">
      <c r="B91" s="268" t="s">
        <v>215</v>
      </c>
      <c r="C91" s="268" t="s">
        <v>216</v>
      </c>
      <c r="D91" s="268" t="s">
        <v>152</v>
      </c>
      <c r="E91" s="268" t="s">
        <v>217</v>
      </c>
      <c r="F91" s="268" t="s">
        <v>319</v>
      </c>
      <c r="G91">
        <v>89</v>
      </c>
      <c r="H91">
        <v>1999</v>
      </c>
    </row>
    <row r="92" spans="2:8" x14ac:dyDescent="0.3">
      <c r="B92" s="268" t="s">
        <v>215</v>
      </c>
      <c r="C92" s="268" t="s">
        <v>216</v>
      </c>
      <c r="D92" s="268" t="s">
        <v>152</v>
      </c>
      <c r="E92" s="268" t="s">
        <v>217</v>
      </c>
      <c r="F92" s="268" t="s">
        <v>320</v>
      </c>
      <c r="G92">
        <v>90</v>
      </c>
      <c r="H92">
        <v>1796</v>
      </c>
    </row>
    <row r="93" spans="2:8" x14ac:dyDescent="0.3">
      <c r="B93" s="268" t="s">
        <v>215</v>
      </c>
      <c r="C93" s="268" t="s">
        <v>216</v>
      </c>
      <c r="D93" s="268" t="s">
        <v>152</v>
      </c>
      <c r="E93" s="268" t="s">
        <v>217</v>
      </c>
      <c r="F93" s="268" t="s">
        <v>321</v>
      </c>
      <c r="G93">
        <v>91</v>
      </c>
      <c r="H93">
        <v>1361</v>
      </c>
    </row>
    <row r="94" spans="2:8" x14ac:dyDescent="0.3">
      <c r="B94" s="268" t="s">
        <v>215</v>
      </c>
      <c r="C94" s="268" t="s">
        <v>216</v>
      </c>
      <c r="D94" s="268" t="s">
        <v>152</v>
      </c>
      <c r="E94" s="268" t="s">
        <v>217</v>
      </c>
      <c r="F94" s="268" t="s">
        <v>322</v>
      </c>
      <c r="G94">
        <v>92</v>
      </c>
      <c r="H94">
        <v>1210</v>
      </c>
    </row>
    <row r="95" spans="2:8" x14ac:dyDescent="0.3">
      <c r="B95" s="268" t="s">
        <v>215</v>
      </c>
      <c r="C95" s="268" t="s">
        <v>216</v>
      </c>
      <c r="D95" s="268" t="s">
        <v>152</v>
      </c>
      <c r="E95" s="268" t="s">
        <v>217</v>
      </c>
      <c r="F95" s="268" t="s">
        <v>323</v>
      </c>
      <c r="G95">
        <v>93</v>
      </c>
      <c r="H95">
        <v>1034</v>
      </c>
    </row>
    <row r="96" spans="2:8" x14ac:dyDescent="0.3">
      <c r="B96" s="268" t="s">
        <v>215</v>
      </c>
      <c r="C96" s="268" t="s">
        <v>216</v>
      </c>
      <c r="D96" s="268" t="s">
        <v>152</v>
      </c>
      <c r="E96" s="268" t="s">
        <v>217</v>
      </c>
      <c r="F96" s="268" t="s">
        <v>324</v>
      </c>
      <c r="G96">
        <v>94</v>
      </c>
      <c r="H96">
        <v>814</v>
      </c>
    </row>
    <row r="97" spans="1:8" x14ac:dyDescent="0.3">
      <c r="B97" s="268" t="s">
        <v>215</v>
      </c>
      <c r="C97" s="268" t="s">
        <v>216</v>
      </c>
      <c r="D97" s="268" t="s">
        <v>152</v>
      </c>
      <c r="E97" s="268" t="s">
        <v>217</v>
      </c>
      <c r="F97" s="268" t="s">
        <v>325</v>
      </c>
      <c r="G97">
        <v>95</v>
      </c>
      <c r="H97">
        <v>673</v>
      </c>
    </row>
    <row r="98" spans="1:8" x14ac:dyDescent="0.3">
      <c r="B98" s="268" t="s">
        <v>215</v>
      </c>
      <c r="C98" s="268" t="s">
        <v>216</v>
      </c>
      <c r="D98" s="268" t="s">
        <v>152</v>
      </c>
      <c r="E98" s="268" t="s">
        <v>217</v>
      </c>
      <c r="F98" s="268" t="s">
        <v>326</v>
      </c>
      <c r="G98">
        <v>96</v>
      </c>
      <c r="H98">
        <v>530</v>
      </c>
    </row>
    <row r="99" spans="1:8" x14ac:dyDescent="0.3">
      <c r="B99" s="268" t="s">
        <v>215</v>
      </c>
      <c r="C99" s="268" t="s">
        <v>216</v>
      </c>
      <c r="D99" s="268" t="s">
        <v>152</v>
      </c>
      <c r="E99" s="268" t="s">
        <v>217</v>
      </c>
      <c r="F99" s="268" t="s">
        <v>327</v>
      </c>
      <c r="G99">
        <v>97</v>
      </c>
      <c r="H99">
        <v>383</v>
      </c>
    </row>
    <row r="100" spans="1:8" x14ac:dyDescent="0.3">
      <c r="B100" s="268" t="s">
        <v>215</v>
      </c>
      <c r="C100" s="268" t="s">
        <v>216</v>
      </c>
      <c r="D100" s="268" t="s">
        <v>152</v>
      </c>
      <c r="E100" s="268" t="s">
        <v>217</v>
      </c>
      <c r="F100" s="268" t="s">
        <v>328</v>
      </c>
      <c r="G100">
        <v>98</v>
      </c>
      <c r="H100">
        <v>294</v>
      </c>
    </row>
    <row r="101" spans="1:8" x14ac:dyDescent="0.3">
      <c r="B101" s="268" t="s">
        <v>215</v>
      </c>
      <c r="C101" s="268" t="s">
        <v>216</v>
      </c>
      <c r="D101" s="268" t="s">
        <v>152</v>
      </c>
      <c r="E101" s="268" t="s">
        <v>217</v>
      </c>
      <c r="F101" s="268" t="s">
        <v>329</v>
      </c>
      <c r="G101">
        <v>99</v>
      </c>
      <c r="H101">
        <v>219</v>
      </c>
    </row>
    <row r="102" spans="1:8" x14ac:dyDescent="0.3">
      <c r="B102" s="268" t="s">
        <v>215</v>
      </c>
      <c r="C102" s="268" t="s">
        <v>216</v>
      </c>
      <c r="D102" s="268" t="s">
        <v>152</v>
      </c>
      <c r="E102" s="268" t="s">
        <v>217</v>
      </c>
      <c r="F102" s="268" t="s">
        <v>330</v>
      </c>
      <c r="G102" t="s">
        <v>331</v>
      </c>
      <c r="H102">
        <v>339</v>
      </c>
    </row>
    <row r="103" spans="1:8" x14ac:dyDescent="0.3">
      <c r="A103" s="268" t="s">
        <v>70</v>
      </c>
      <c r="B103" s="268" t="s">
        <v>215</v>
      </c>
      <c r="C103" s="268" t="s">
        <v>216</v>
      </c>
      <c r="D103" s="268" t="s">
        <v>152</v>
      </c>
      <c r="E103" s="268" t="s">
        <v>217</v>
      </c>
      <c r="H103">
        <v>2103071</v>
      </c>
    </row>
    <row r="104" spans="1:8" x14ac:dyDescent="0.3">
      <c r="B104" s="268" t="s">
        <v>215</v>
      </c>
      <c r="C104" s="268" t="s">
        <v>216</v>
      </c>
      <c r="D104" s="268" t="s">
        <v>151</v>
      </c>
      <c r="E104" s="268" t="s">
        <v>332</v>
      </c>
      <c r="F104" s="268" t="s">
        <v>218</v>
      </c>
      <c r="G104">
        <v>0</v>
      </c>
      <c r="H104">
        <v>31324</v>
      </c>
    </row>
    <row r="105" spans="1:8" x14ac:dyDescent="0.3">
      <c r="B105" s="268" t="s">
        <v>215</v>
      </c>
      <c r="C105" s="268" t="s">
        <v>216</v>
      </c>
      <c r="D105" s="268" t="s">
        <v>151</v>
      </c>
      <c r="E105" s="268" t="s">
        <v>332</v>
      </c>
      <c r="F105" s="268" t="s">
        <v>220</v>
      </c>
      <c r="G105">
        <v>1</v>
      </c>
      <c r="H105">
        <v>31165</v>
      </c>
    </row>
    <row r="106" spans="1:8" x14ac:dyDescent="0.3">
      <c r="B106" s="268" t="s">
        <v>215</v>
      </c>
      <c r="C106" s="268" t="s">
        <v>216</v>
      </c>
      <c r="D106" s="268" t="s">
        <v>151</v>
      </c>
      <c r="E106" s="268" t="s">
        <v>332</v>
      </c>
      <c r="F106" s="268" t="s">
        <v>221</v>
      </c>
      <c r="G106">
        <v>2</v>
      </c>
      <c r="H106">
        <v>30982</v>
      </c>
    </row>
    <row r="107" spans="1:8" x14ac:dyDescent="0.3">
      <c r="B107" s="268" t="s">
        <v>215</v>
      </c>
      <c r="C107" s="268" t="s">
        <v>216</v>
      </c>
      <c r="D107" s="268" t="s">
        <v>151</v>
      </c>
      <c r="E107" s="268" t="s">
        <v>332</v>
      </c>
      <c r="F107" s="268" t="s">
        <v>223</v>
      </c>
      <c r="G107">
        <v>3</v>
      </c>
      <c r="H107">
        <v>30776</v>
      </c>
    </row>
    <row r="108" spans="1:8" x14ac:dyDescent="0.3">
      <c r="B108" s="268" t="s">
        <v>215</v>
      </c>
      <c r="C108" s="268" t="s">
        <v>216</v>
      </c>
      <c r="D108" s="268" t="s">
        <v>151</v>
      </c>
      <c r="E108" s="268" t="s">
        <v>332</v>
      </c>
      <c r="F108" s="268" t="s">
        <v>225</v>
      </c>
      <c r="G108">
        <v>4</v>
      </c>
      <c r="H108">
        <v>30548</v>
      </c>
    </row>
    <row r="109" spans="1:8" x14ac:dyDescent="0.3">
      <c r="B109" s="268" t="s">
        <v>215</v>
      </c>
      <c r="C109" s="268" t="s">
        <v>216</v>
      </c>
      <c r="D109" s="268" t="s">
        <v>151</v>
      </c>
      <c r="E109" s="268" t="s">
        <v>332</v>
      </c>
      <c r="F109" s="268" t="s">
        <v>226</v>
      </c>
      <c r="G109">
        <v>5</v>
      </c>
      <c r="H109">
        <v>30311</v>
      </c>
    </row>
    <row r="110" spans="1:8" x14ac:dyDescent="0.3">
      <c r="B110" s="268" t="s">
        <v>215</v>
      </c>
      <c r="C110" s="268" t="s">
        <v>216</v>
      </c>
      <c r="D110" s="268" t="s">
        <v>151</v>
      </c>
      <c r="E110" s="268" t="s">
        <v>332</v>
      </c>
      <c r="F110" s="268" t="s">
        <v>227</v>
      </c>
      <c r="G110">
        <v>6</v>
      </c>
      <c r="H110">
        <v>30066</v>
      </c>
    </row>
    <row r="111" spans="1:8" x14ac:dyDescent="0.3">
      <c r="B111" s="268" t="s">
        <v>215</v>
      </c>
      <c r="C111" s="268" t="s">
        <v>216</v>
      </c>
      <c r="D111" s="268" t="s">
        <v>151</v>
      </c>
      <c r="E111" s="268" t="s">
        <v>332</v>
      </c>
      <c r="F111" s="268" t="s">
        <v>229</v>
      </c>
      <c r="G111">
        <v>7</v>
      </c>
      <c r="H111">
        <v>33514</v>
      </c>
    </row>
    <row r="112" spans="1:8" x14ac:dyDescent="0.3">
      <c r="B112" s="268" t="s">
        <v>215</v>
      </c>
      <c r="C112" s="268" t="s">
        <v>216</v>
      </c>
      <c r="D112" s="268" t="s">
        <v>151</v>
      </c>
      <c r="E112" s="268" t="s">
        <v>332</v>
      </c>
      <c r="F112" s="268" t="s">
        <v>230</v>
      </c>
      <c r="G112">
        <v>8</v>
      </c>
      <c r="H112">
        <v>33593</v>
      </c>
    </row>
    <row r="113" spans="2:8" x14ac:dyDescent="0.3">
      <c r="B113" s="268" t="s">
        <v>215</v>
      </c>
      <c r="C113" s="268" t="s">
        <v>216</v>
      </c>
      <c r="D113" s="268" t="s">
        <v>151</v>
      </c>
      <c r="E113" s="268" t="s">
        <v>332</v>
      </c>
      <c r="F113" s="268" t="s">
        <v>231</v>
      </c>
      <c r="G113">
        <v>9</v>
      </c>
      <c r="H113">
        <v>32766</v>
      </c>
    </row>
    <row r="114" spans="2:8" x14ac:dyDescent="0.3">
      <c r="B114" s="268" t="s">
        <v>215</v>
      </c>
      <c r="C114" s="268" t="s">
        <v>216</v>
      </c>
      <c r="D114" s="268" t="s">
        <v>151</v>
      </c>
      <c r="E114" s="268" t="s">
        <v>332</v>
      </c>
      <c r="F114" s="268" t="s">
        <v>233</v>
      </c>
      <c r="G114">
        <v>10</v>
      </c>
      <c r="H114">
        <v>33062</v>
      </c>
    </row>
    <row r="115" spans="2:8" x14ac:dyDescent="0.3">
      <c r="B115" s="268" t="s">
        <v>215</v>
      </c>
      <c r="C115" s="268" t="s">
        <v>216</v>
      </c>
      <c r="D115" s="268" t="s">
        <v>151</v>
      </c>
      <c r="E115" s="268" t="s">
        <v>332</v>
      </c>
      <c r="F115" s="268" t="s">
        <v>234</v>
      </c>
      <c r="G115">
        <v>11</v>
      </c>
      <c r="H115">
        <v>33027</v>
      </c>
    </row>
    <row r="116" spans="2:8" x14ac:dyDescent="0.3">
      <c r="B116" s="268" t="s">
        <v>215</v>
      </c>
      <c r="C116" s="268" t="s">
        <v>216</v>
      </c>
      <c r="D116" s="268" t="s">
        <v>151</v>
      </c>
      <c r="E116" s="268" t="s">
        <v>332</v>
      </c>
      <c r="F116" s="268" t="s">
        <v>235</v>
      </c>
      <c r="G116">
        <v>12</v>
      </c>
      <c r="H116">
        <v>34386</v>
      </c>
    </row>
    <row r="117" spans="2:8" x14ac:dyDescent="0.3">
      <c r="B117" s="268" t="s">
        <v>215</v>
      </c>
      <c r="C117" s="268" t="s">
        <v>216</v>
      </c>
      <c r="D117" s="268" t="s">
        <v>151</v>
      </c>
      <c r="E117" s="268" t="s">
        <v>332</v>
      </c>
      <c r="F117" s="268" t="s">
        <v>237</v>
      </c>
      <c r="G117">
        <v>13</v>
      </c>
      <c r="H117">
        <v>34816</v>
      </c>
    </row>
    <row r="118" spans="2:8" x14ac:dyDescent="0.3">
      <c r="B118" s="268" t="s">
        <v>215</v>
      </c>
      <c r="C118" s="268" t="s">
        <v>216</v>
      </c>
      <c r="D118" s="268" t="s">
        <v>151</v>
      </c>
      <c r="E118" s="268" t="s">
        <v>332</v>
      </c>
      <c r="F118" s="268" t="s">
        <v>239</v>
      </c>
      <c r="G118">
        <v>14</v>
      </c>
      <c r="H118">
        <v>34208</v>
      </c>
    </row>
    <row r="119" spans="2:8" x14ac:dyDescent="0.3">
      <c r="B119" s="268" t="s">
        <v>215</v>
      </c>
      <c r="C119" s="268" t="s">
        <v>216</v>
      </c>
      <c r="D119" s="268" t="s">
        <v>151</v>
      </c>
      <c r="E119" s="268" t="s">
        <v>332</v>
      </c>
      <c r="F119" s="268" t="s">
        <v>241</v>
      </c>
      <c r="G119">
        <v>15</v>
      </c>
      <c r="H119">
        <v>33848</v>
      </c>
    </row>
    <row r="120" spans="2:8" x14ac:dyDescent="0.3">
      <c r="B120" s="268" t="s">
        <v>215</v>
      </c>
      <c r="C120" s="268" t="s">
        <v>216</v>
      </c>
      <c r="D120" s="268" t="s">
        <v>151</v>
      </c>
      <c r="E120" s="268" t="s">
        <v>332</v>
      </c>
      <c r="F120" s="268" t="s">
        <v>243</v>
      </c>
      <c r="G120">
        <v>16</v>
      </c>
      <c r="H120">
        <v>33100</v>
      </c>
    </row>
    <row r="121" spans="2:8" x14ac:dyDescent="0.3">
      <c r="B121" s="268" t="s">
        <v>215</v>
      </c>
      <c r="C121" s="268" t="s">
        <v>216</v>
      </c>
      <c r="D121" s="268" t="s">
        <v>151</v>
      </c>
      <c r="E121" s="268" t="s">
        <v>332</v>
      </c>
      <c r="F121" s="268" t="s">
        <v>245</v>
      </c>
      <c r="G121">
        <v>17</v>
      </c>
      <c r="H121">
        <v>32927</v>
      </c>
    </row>
    <row r="122" spans="2:8" x14ac:dyDescent="0.3">
      <c r="B122" s="268" t="s">
        <v>215</v>
      </c>
      <c r="C122" s="268" t="s">
        <v>216</v>
      </c>
      <c r="D122" s="268" t="s">
        <v>151</v>
      </c>
      <c r="E122" s="268" t="s">
        <v>332</v>
      </c>
      <c r="F122" s="268" t="s">
        <v>247</v>
      </c>
      <c r="G122">
        <v>18</v>
      </c>
      <c r="H122">
        <v>32851</v>
      </c>
    </row>
    <row r="123" spans="2:8" x14ac:dyDescent="0.3">
      <c r="B123" s="268" t="s">
        <v>215</v>
      </c>
      <c r="C123" s="268" t="s">
        <v>216</v>
      </c>
      <c r="D123" s="268" t="s">
        <v>151</v>
      </c>
      <c r="E123" s="268" t="s">
        <v>332</v>
      </c>
      <c r="F123" s="268" t="s">
        <v>249</v>
      </c>
      <c r="G123">
        <v>19</v>
      </c>
      <c r="H123">
        <v>33211</v>
      </c>
    </row>
    <row r="124" spans="2:8" x14ac:dyDescent="0.3">
      <c r="B124" s="268" t="s">
        <v>215</v>
      </c>
      <c r="C124" s="268" t="s">
        <v>216</v>
      </c>
      <c r="D124" s="268" t="s">
        <v>151</v>
      </c>
      <c r="E124" s="268" t="s">
        <v>332</v>
      </c>
      <c r="F124" s="268" t="s">
        <v>250</v>
      </c>
      <c r="G124">
        <v>20</v>
      </c>
      <c r="H124">
        <v>34336</v>
      </c>
    </row>
    <row r="125" spans="2:8" x14ac:dyDescent="0.3">
      <c r="B125" s="268" t="s">
        <v>215</v>
      </c>
      <c r="C125" s="268" t="s">
        <v>216</v>
      </c>
      <c r="D125" s="268" t="s">
        <v>151</v>
      </c>
      <c r="E125" s="268" t="s">
        <v>332</v>
      </c>
      <c r="F125" s="268" t="s">
        <v>251</v>
      </c>
      <c r="G125">
        <v>21</v>
      </c>
      <c r="H125">
        <v>33355</v>
      </c>
    </row>
    <row r="126" spans="2:8" x14ac:dyDescent="0.3">
      <c r="B126" s="268" t="s">
        <v>215</v>
      </c>
      <c r="C126" s="268" t="s">
        <v>216</v>
      </c>
      <c r="D126" s="268" t="s">
        <v>151</v>
      </c>
      <c r="E126" s="268" t="s">
        <v>332</v>
      </c>
      <c r="F126" s="268" t="s">
        <v>252</v>
      </c>
      <c r="G126">
        <v>22</v>
      </c>
      <c r="H126">
        <v>33448</v>
      </c>
    </row>
    <row r="127" spans="2:8" x14ac:dyDescent="0.3">
      <c r="B127" s="268" t="s">
        <v>215</v>
      </c>
      <c r="C127" s="268" t="s">
        <v>216</v>
      </c>
      <c r="D127" s="268" t="s">
        <v>151</v>
      </c>
      <c r="E127" s="268" t="s">
        <v>332</v>
      </c>
      <c r="F127" s="268" t="s">
        <v>253</v>
      </c>
      <c r="G127">
        <v>23</v>
      </c>
      <c r="H127">
        <v>33473</v>
      </c>
    </row>
    <row r="128" spans="2:8" x14ac:dyDescent="0.3">
      <c r="B128" s="268" t="s">
        <v>215</v>
      </c>
      <c r="C128" s="268" t="s">
        <v>216</v>
      </c>
      <c r="D128" s="268" t="s">
        <v>151</v>
      </c>
      <c r="E128" s="268" t="s">
        <v>332</v>
      </c>
      <c r="F128" s="268" t="s">
        <v>254</v>
      </c>
      <c r="G128">
        <v>24</v>
      </c>
      <c r="H128">
        <v>33727</v>
      </c>
    </row>
    <row r="129" spans="2:8" x14ac:dyDescent="0.3">
      <c r="B129" s="268" t="s">
        <v>215</v>
      </c>
      <c r="C129" s="268" t="s">
        <v>216</v>
      </c>
      <c r="D129" s="268" t="s">
        <v>151</v>
      </c>
      <c r="E129" s="268" t="s">
        <v>332</v>
      </c>
      <c r="F129" s="268" t="s">
        <v>255</v>
      </c>
      <c r="G129">
        <v>25</v>
      </c>
      <c r="H129">
        <v>34378</v>
      </c>
    </row>
    <row r="130" spans="2:8" x14ac:dyDescent="0.3">
      <c r="B130" s="268" t="s">
        <v>215</v>
      </c>
      <c r="C130" s="268" t="s">
        <v>216</v>
      </c>
      <c r="D130" s="268" t="s">
        <v>151</v>
      </c>
      <c r="E130" s="268" t="s">
        <v>332</v>
      </c>
      <c r="F130" s="268" t="s">
        <v>256</v>
      </c>
      <c r="G130">
        <v>26</v>
      </c>
      <c r="H130">
        <v>35333</v>
      </c>
    </row>
    <row r="131" spans="2:8" x14ac:dyDescent="0.3">
      <c r="B131" s="268" t="s">
        <v>215</v>
      </c>
      <c r="C131" s="268" t="s">
        <v>216</v>
      </c>
      <c r="D131" s="268" t="s">
        <v>151</v>
      </c>
      <c r="E131" s="268" t="s">
        <v>332</v>
      </c>
      <c r="F131" s="268" t="s">
        <v>257</v>
      </c>
      <c r="G131">
        <v>27</v>
      </c>
      <c r="H131">
        <v>36569</v>
      </c>
    </row>
    <row r="132" spans="2:8" x14ac:dyDescent="0.3">
      <c r="B132" s="268" t="s">
        <v>215</v>
      </c>
      <c r="C132" s="268" t="s">
        <v>216</v>
      </c>
      <c r="D132" s="268" t="s">
        <v>151</v>
      </c>
      <c r="E132" s="268" t="s">
        <v>332</v>
      </c>
      <c r="F132" s="268" t="s">
        <v>258</v>
      </c>
      <c r="G132">
        <v>28</v>
      </c>
      <c r="H132">
        <v>37923</v>
      </c>
    </row>
    <row r="133" spans="2:8" x14ac:dyDescent="0.3">
      <c r="B133" s="268" t="s">
        <v>215</v>
      </c>
      <c r="C133" s="268" t="s">
        <v>216</v>
      </c>
      <c r="D133" s="268" t="s">
        <v>151</v>
      </c>
      <c r="E133" s="268" t="s">
        <v>332</v>
      </c>
      <c r="F133" s="268" t="s">
        <v>259</v>
      </c>
      <c r="G133">
        <v>29</v>
      </c>
      <c r="H133">
        <v>37840</v>
      </c>
    </row>
    <row r="134" spans="2:8" x14ac:dyDescent="0.3">
      <c r="B134" s="268" t="s">
        <v>215</v>
      </c>
      <c r="C134" s="268" t="s">
        <v>216</v>
      </c>
      <c r="D134" s="268" t="s">
        <v>151</v>
      </c>
      <c r="E134" s="268" t="s">
        <v>332</v>
      </c>
      <c r="F134" s="268" t="s">
        <v>260</v>
      </c>
      <c r="G134">
        <v>30</v>
      </c>
      <c r="H134">
        <v>37190</v>
      </c>
    </row>
    <row r="135" spans="2:8" x14ac:dyDescent="0.3">
      <c r="B135" s="268" t="s">
        <v>215</v>
      </c>
      <c r="C135" s="268" t="s">
        <v>216</v>
      </c>
      <c r="D135" s="268" t="s">
        <v>151</v>
      </c>
      <c r="E135" s="268" t="s">
        <v>332</v>
      </c>
      <c r="F135" s="268" t="s">
        <v>261</v>
      </c>
      <c r="G135">
        <v>31</v>
      </c>
      <c r="H135">
        <v>35355</v>
      </c>
    </row>
    <row r="136" spans="2:8" x14ac:dyDescent="0.3">
      <c r="B136" s="268" t="s">
        <v>215</v>
      </c>
      <c r="C136" s="268" t="s">
        <v>216</v>
      </c>
      <c r="D136" s="268" t="s">
        <v>151</v>
      </c>
      <c r="E136" s="268" t="s">
        <v>332</v>
      </c>
      <c r="F136" s="268" t="s">
        <v>262</v>
      </c>
      <c r="G136">
        <v>32</v>
      </c>
      <c r="H136">
        <v>34590</v>
      </c>
    </row>
    <row r="137" spans="2:8" x14ac:dyDescent="0.3">
      <c r="B137" s="268" t="s">
        <v>215</v>
      </c>
      <c r="C137" s="268" t="s">
        <v>216</v>
      </c>
      <c r="D137" s="268" t="s">
        <v>151</v>
      </c>
      <c r="E137" s="268" t="s">
        <v>332</v>
      </c>
      <c r="F137" s="268" t="s">
        <v>263</v>
      </c>
      <c r="G137">
        <v>33</v>
      </c>
      <c r="H137">
        <v>33456</v>
      </c>
    </row>
    <row r="138" spans="2:8" x14ac:dyDescent="0.3">
      <c r="B138" s="268" t="s">
        <v>215</v>
      </c>
      <c r="C138" s="268" t="s">
        <v>216</v>
      </c>
      <c r="D138" s="268" t="s">
        <v>151</v>
      </c>
      <c r="E138" s="268" t="s">
        <v>332</v>
      </c>
      <c r="F138" s="268" t="s">
        <v>264</v>
      </c>
      <c r="G138">
        <v>34</v>
      </c>
      <c r="H138">
        <v>33332</v>
      </c>
    </row>
    <row r="139" spans="2:8" x14ac:dyDescent="0.3">
      <c r="B139" s="268" t="s">
        <v>215</v>
      </c>
      <c r="C139" s="268" t="s">
        <v>216</v>
      </c>
      <c r="D139" s="268" t="s">
        <v>151</v>
      </c>
      <c r="E139" s="268" t="s">
        <v>332</v>
      </c>
      <c r="F139" s="268" t="s">
        <v>265</v>
      </c>
      <c r="G139">
        <v>35</v>
      </c>
      <c r="H139">
        <v>32714</v>
      </c>
    </row>
    <row r="140" spans="2:8" x14ac:dyDescent="0.3">
      <c r="B140" s="268" t="s">
        <v>215</v>
      </c>
      <c r="C140" s="268" t="s">
        <v>216</v>
      </c>
      <c r="D140" s="268" t="s">
        <v>151</v>
      </c>
      <c r="E140" s="268" t="s">
        <v>332</v>
      </c>
      <c r="F140" s="268" t="s">
        <v>266</v>
      </c>
      <c r="G140">
        <v>36</v>
      </c>
      <c r="H140">
        <v>31702</v>
      </c>
    </row>
    <row r="141" spans="2:8" x14ac:dyDescent="0.3">
      <c r="B141" s="268" t="s">
        <v>215</v>
      </c>
      <c r="C141" s="268" t="s">
        <v>216</v>
      </c>
      <c r="D141" s="268" t="s">
        <v>151</v>
      </c>
      <c r="E141" s="268" t="s">
        <v>332</v>
      </c>
      <c r="F141" s="268" t="s">
        <v>267</v>
      </c>
      <c r="G141">
        <v>37</v>
      </c>
      <c r="H141">
        <v>32134</v>
      </c>
    </row>
    <row r="142" spans="2:8" x14ac:dyDescent="0.3">
      <c r="B142" s="268" t="s">
        <v>215</v>
      </c>
      <c r="C142" s="268" t="s">
        <v>216</v>
      </c>
      <c r="D142" s="268" t="s">
        <v>151</v>
      </c>
      <c r="E142" s="268" t="s">
        <v>332</v>
      </c>
      <c r="F142" s="268" t="s">
        <v>268</v>
      </c>
      <c r="G142">
        <v>38</v>
      </c>
      <c r="H142">
        <v>31444</v>
      </c>
    </row>
    <row r="143" spans="2:8" x14ac:dyDescent="0.3">
      <c r="B143" s="268" t="s">
        <v>215</v>
      </c>
      <c r="C143" s="268" t="s">
        <v>216</v>
      </c>
      <c r="D143" s="268" t="s">
        <v>151</v>
      </c>
      <c r="E143" s="268" t="s">
        <v>332</v>
      </c>
      <c r="F143" s="268" t="s">
        <v>269</v>
      </c>
      <c r="G143">
        <v>39</v>
      </c>
      <c r="H143">
        <v>30583</v>
      </c>
    </row>
    <row r="144" spans="2:8" x14ac:dyDescent="0.3">
      <c r="B144" s="268" t="s">
        <v>215</v>
      </c>
      <c r="C144" s="268" t="s">
        <v>216</v>
      </c>
      <c r="D144" s="268" t="s">
        <v>151</v>
      </c>
      <c r="E144" s="268" t="s">
        <v>332</v>
      </c>
      <c r="F144" s="268" t="s">
        <v>270</v>
      </c>
      <c r="G144">
        <v>40</v>
      </c>
      <c r="H144">
        <v>31383</v>
      </c>
    </row>
    <row r="145" spans="2:8" x14ac:dyDescent="0.3">
      <c r="B145" s="268" t="s">
        <v>215</v>
      </c>
      <c r="C145" s="268" t="s">
        <v>216</v>
      </c>
      <c r="D145" s="268" t="s">
        <v>151</v>
      </c>
      <c r="E145" s="268" t="s">
        <v>332</v>
      </c>
      <c r="F145" s="268" t="s">
        <v>271</v>
      </c>
      <c r="G145">
        <v>41</v>
      </c>
      <c r="H145">
        <v>29014</v>
      </c>
    </row>
    <row r="146" spans="2:8" x14ac:dyDescent="0.3">
      <c r="B146" s="268" t="s">
        <v>215</v>
      </c>
      <c r="C146" s="268" t="s">
        <v>216</v>
      </c>
      <c r="D146" s="268" t="s">
        <v>151</v>
      </c>
      <c r="E146" s="268" t="s">
        <v>332</v>
      </c>
      <c r="F146" s="268" t="s">
        <v>272</v>
      </c>
      <c r="G146">
        <v>42</v>
      </c>
      <c r="H146">
        <v>28014</v>
      </c>
    </row>
    <row r="147" spans="2:8" x14ac:dyDescent="0.3">
      <c r="B147" s="268" t="s">
        <v>215</v>
      </c>
      <c r="C147" s="268" t="s">
        <v>216</v>
      </c>
      <c r="D147" s="268" t="s">
        <v>151</v>
      </c>
      <c r="E147" s="268" t="s">
        <v>332</v>
      </c>
      <c r="F147" s="268" t="s">
        <v>273</v>
      </c>
      <c r="G147">
        <v>43</v>
      </c>
      <c r="H147">
        <v>28013</v>
      </c>
    </row>
    <row r="148" spans="2:8" x14ac:dyDescent="0.3">
      <c r="B148" s="268" t="s">
        <v>215</v>
      </c>
      <c r="C148" s="268" t="s">
        <v>216</v>
      </c>
      <c r="D148" s="268" t="s">
        <v>151</v>
      </c>
      <c r="E148" s="268" t="s">
        <v>332</v>
      </c>
      <c r="F148" s="268" t="s">
        <v>274</v>
      </c>
      <c r="G148">
        <v>44</v>
      </c>
      <c r="H148">
        <v>26977</v>
      </c>
    </row>
    <row r="149" spans="2:8" x14ac:dyDescent="0.3">
      <c r="B149" s="268" t="s">
        <v>215</v>
      </c>
      <c r="C149" s="268" t="s">
        <v>216</v>
      </c>
      <c r="D149" s="268" t="s">
        <v>151</v>
      </c>
      <c r="E149" s="268" t="s">
        <v>332</v>
      </c>
      <c r="F149" s="268" t="s">
        <v>275</v>
      </c>
      <c r="G149">
        <v>45</v>
      </c>
      <c r="H149">
        <v>26937</v>
      </c>
    </row>
    <row r="150" spans="2:8" x14ac:dyDescent="0.3">
      <c r="B150" s="268" t="s">
        <v>215</v>
      </c>
      <c r="C150" s="268" t="s">
        <v>216</v>
      </c>
      <c r="D150" s="268" t="s">
        <v>151</v>
      </c>
      <c r="E150" s="268" t="s">
        <v>332</v>
      </c>
      <c r="F150" s="268" t="s">
        <v>276</v>
      </c>
      <c r="G150">
        <v>46</v>
      </c>
      <c r="H150">
        <v>26121</v>
      </c>
    </row>
    <row r="151" spans="2:8" x14ac:dyDescent="0.3">
      <c r="B151" s="268" t="s">
        <v>215</v>
      </c>
      <c r="C151" s="268" t="s">
        <v>216</v>
      </c>
      <c r="D151" s="268" t="s">
        <v>151</v>
      </c>
      <c r="E151" s="268" t="s">
        <v>332</v>
      </c>
      <c r="F151" s="268" t="s">
        <v>277</v>
      </c>
      <c r="G151">
        <v>47</v>
      </c>
      <c r="H151">
        <v>25692</v>
      </c>
    </row>
    <row r="152" spans="2:8" x14ac:dyDescent="0.3">
      <c r="B152" s="268" t="s">
        <v>215</v>
      </c>
      <c r="C152" s="268" t="s">
        <v>216</v>
      </c>
      <c r="D152" s="268" t="s">
        <v>151</v>
      </c>
      <c r="E152" s="268" t="s">
        <v>332</v>
      </c>
      <c r="F152" s="268" t="s">
        <v>278</v>
      </c>
      <c r="G152">
        <v>48</v>
      </c>
      <c r="H152">
        <v>26098</v>
      </c>
    </row>
    <row r="153" spans="2:8" x14ac:dyDescent="0.3">
      <c r="B153" s="268" t="s">
        <v>215</v>
      </c>
      <c r="C153" s="268" t="s">
        <v>216</v>
      </c>
      <c r="D153" s="268" t="s">
        <v>151</v>
      </c>
      <c r="E153" s="268" t="s">
        <v>332</v>
      </c>
      <c r="F153" s="268" t="s">
        <v>279</v>
      </c>
      <c r="G153">
        <v>49</v>
      </c>
      <c r="H153">
        <v>26438</v>
      </c>
    </row>
    <row r="154" spans="2:8" x14ac:dyDescent="0.3">
      <c r="B154" s="268" t="s">
        <v>215</v>
      </c>
      <c r="C154" s="268" t="s">
        <v>216</v>
      </c>
      <c r="D154" s="268" t="s">
        <v>151</v>
      </c>
      <c r="E154" s="268" t="s">
        <v>332</v>
      </c>
      <c r="F154" s="268" t="s">
        <v>280</v>
      </c>
      <c r="G154">
        <v>50</v>
      </c>
      <c r="H154">
        <v>26423</v>
      </c>
    </row>
    <row r="155" spans="2:8" x14ac:dyDescent="0.3">
      <c r="B155" s="268" t="s">
        <v>215</v>
      </c>
      <c r="C155" s="268" t="s">
        <v>216</v>
      </c>
      <c r="D155" s="268" t="s">
        <v>151</v>
      </c>
      <c r="E155" s="268" t="s">
        <v>332</v>
      </c>
      <c r="F155" s="268" t="s">
        <v>281</v>
      </c>
      <c r="G155">
        <v>51</v>
      </c>
      <c r="H155">
        <v>25028</v>
      </c>
    </row>
    <row r="156" spans="2:8" x14ac:dyDescent="0.3">
      <c r="B156" s="268" t="s">
        <v>215</v>
      </c>
      <c r="C156" s="268" t="s">
        <v>216</v>
      </c>
      <c r="D156" s="268" t="s">
        <v>151</v>
      </c>
      <c r="E156" s="268" t="s">
        <v>332</v>
      </c>
      <c r="F156" s="268" t="s">
        <v>282</v>
      </c>
      <c r="G156">
        <v>52</v>
      </c>
      <c r="H156">
        <v>24161</v>
      </c>
    </row>
    <row r="157" spans="2:8" x14ac:dyDescent="0.3">
      <c r="B157" s="268" t="s">
        <v>215</v>
      </c>
      <c r="C157" s="268" t="s">
        <v>216</v>
      </c>
      <c r="D157" s="268" t="s">
        <v>151</v>
      </c>
      <c r="E157" s="268" t="s">
        <v>332</v>
      </c>
      <c r="F157" s="268" t="s">
        <v>283</v>
      </c>
      <c r="G157">
        <v>53</v>
      </c>
      <c r="H157">
        <v>23458</v>
      </c>
    </row>
    <row r="158" spans="2:8" x14ac:dyDescent="0.3">
      <c r="B158" s="268" t="s">
        <v>215</v>
      </c>
      <c r="C158" s="268" t="s">
        <v>216</v>
      </c>
      <c r="D158" s="268" t="s">
        <v>151</v>
      </c>
      <c r="E158" s="268" t="s">
        <v>332</v>
      </c>
      <c r="F158" s="268" t="s">
        <v>284</v>
      </c>
      <c r="G158">
        <v>54</v>
      </c>
      <c r="H158">
        <v>23888</v>
      </c>
    </row>
    <row r="159" spans="2:8" x14ac:dyDescent="0.3">
      <c r="B159" s="268" t="s">
        <v>215</v>
      </c>
      <c r="C159" s="268" t="s">
        <v>216</v>
      </c>
      <c r="D159" s="268" t="s">
        <v>151</v>
      </c>
      <c r="E159" s="268" t="s">
        <v>332</v>
      </c>
      <c r="F159" s="268" t="s">
        <v>285</v>
      </c>
      <c r="G159">
        <v>55</v>
      </c>
      <c r="H159">
        <v>24745</v>
      </c>
    </row>
    <row r="160" spans="2:8" x14ac:dyDescent="0.3">
      <c r="B160" s="268" t="s">
        <v>215</v>
      </c>
      <c r="C160" s="268" t="s">
        <v>216</v>
      </c>
      <c r="D160" s="268" t="s">
        <v>151</v>
      </c>
      <c r="E160" s="268" t="s">
        <v>332</v>
      </c>
      <c r="F160" s="268" t="s">
        <v>286</v>
      </c>
      <c r="G160">
        <v>56</v>
      </c>
      <c r="H160">
        <v>24359</v>
      </c>
    </row>
    <row r="161" spans="2:8" x14ac:dyDescent="0.3">
      <c r="B161" s="268" t="s">
        <v>215</v>
      </c>
      <c r="C161" s="268" t="s">
        <v>216</v>
      </c>
      <c r="D161" s="268" t="s">
        <v>151</v>
      </c>
      <c r="E161" s="268" t="s">
        <v>332</v>
      </c>
      <c r="F161" s="268" t="s">
        <v>287</v>
      </c>
      <c r="G161">
        <v>57</v>
      </c>
      <c r="H161">
        <v>23761</v>
      </c>
    </row>
    <row r="162" spans="2:8" x14ac:dyDescent="0.3">
      <c r="B162" s="268" t="s">
        <v>215</v>
      </c>
      <c r="C162" s="268" t="s">
        <v>216</v>
      </c>
      <c r="D162" s="268" t="s">
        <v>151</v>
      </c>
      <c r="E162" s="268" t="s">
        <v>332</v>
      </c>
      <c r="F162" s="268" t="s">
        <v>288</v>
      </c>
      <c r="G162">
        <v>58</v>
      </c>
      <c r="H162">
        <v>23088</v>
      </c>
    </row>
    <row r="163" spans="2:8" x14ac:dyDescent="0.3">
      <c r="B163" s="268" t="s">
        <v>215</v>
      </c>
      <c r="C163" s="268" t="s">
        <v>216</v>
      </c>
      <c r="D163" s="268" t="s">
        <v>151</v>
      </c>
      <c r="E163" s="268" t="s">
        <v>332</v>
      </c>
      <c r="F163" s="268" t="s">
        <v>289</v>
      </c>
      <c r="G163">
        <v>59</v>
      </c>
      <c r="H163">
        <v>22405</v>
      </c>
    </row>
    <row r="164" spans="2:8" x14ac:dyDescent="0.3">
      <c r="B164" s="268" t="s">
        <v>215</v>
      </c>
      <c r="C164" s="268" t="s">
        <v>216</v>
      </c>
      <c r="D164" s="268" t="s">
        <v>151</v>
      </c>
      <c r="E164" s="268" t="s">
        <v>332</v>
      </c>
      <c r="F164" s="268" t="s">
        <v>290</v>
      </c>
      <c r="G164">
        <v>60</v>
      </c>
      <c r="H164">
        <v>22690</v>
      </c>
    </row>
    <row r="165" spans="2:8" x14ac:dyDescent="0.3">
      <c r="B165" s="268" t="s">
        <v>215</v>
      </c>
      <c r="C165" s="268" t="s">
        <v>216</v>
      </c>
      <c r="D165" s="268" t="s">
        <v>151</v>
      </c>
      <c r="E165" s="268" t="s">
        <v>332</v>
      </c>
      <c r="F165" s="268" t="s">
        <v>291</v>
      </c>
      <c r="G165">
        <v>61</v>
      </c>
      <c r="H165">
        <v>20739</v>
      </c>
    </row>
    <row r="166" spans="2:8" x14ac:dyDescent="0.3">
      <c r="B166" s="268" t="s">
        <v>215</v>
      </c>
      <c r="C166" s="268" t="s">
        <v>216</v>
      </c>
      <c r="D166" s="268" t="s">
        <v>151</v>
      </c>
      <c r="E166" s="268" t="s">
        <v>332</v>
      </c>
      <c r="F166" s="268" t="s">
        <v>292</v>
      </c>
      <c r="G166">
        <v>62</v>
      </c>
      <c r="H166">
        <v>19873</v>
      </c>
    </row>
    <row r="167" spans="2:8" x14ac:dyDescent="0.3">
      <c r="B167" s="268" t="s">
        <v>215</v>
      </c>
      <c r="C167" s="268" t="s">
        <v>216</v>
      </c>
      <c r="D167" s="268" t="s">
        <v>151</v>
      </c>
      <c r="E167" s="268" t="s">
        <v>332</v>
      </c>
      <c r="F167" s="268" t="s">
        <v>293</v>
      </c>
      <c r="G167">
        <v>63</v>
      </c>
      <c r="H167">
        <v>19441</v>
      </c>
    </row>
    <row r="168" spans="2:8" x14ac:dyDescent="0.3">
      <c r="B168" s="268" t="s">
        <v>215</v>
      </c>
      <c r="C168" s="268" t="s">
        <v>216</v>
      </c>
      <c r="D168" s="268" t="s">
        <v>151</v>
      </c>
      <c r="E168" s="268" t="s">
        <v>332</v>
      </c>
      <c r="F168" s="268" t="s">
        <v>294</v>
      </c>
      <c r="G168">
        <v>64</v>
      </c>
      <c r="H168">
        <v>18162</v>
      </c>
    </row>
    <row r="169" spans="2:8" x14ac:dyDescent="0.3">
      <c r="B169" s="268" t="s">
        <v>215</v>
      </c>
      <c r="C169" s="268" t="s">
        <v>216</v>
      </c>
      <c r="D169" s="268" t="s">
        <v>151</v>
      </c>
      <c r="E169" s="268" t="s">
        <v>332</v>
      </c>
      <c r="F169" s="268" t="s">
        <v>295</v>
      </c>
      <c r="G169">
        <v>65</v>
      </c>
      <c r="H169">
        <v>17463</v>
      </c>
    </row>
    <row r="170" spans="2:8" x14ac:dyDescent="0.3">
      <c r="B170" s="268" t="s">
        <v>215</v>
      </c>
      <c r="C170" s="268" t="s">
        <v>216</v>
      </c>
      <c r="D170" s="268" t="s">
        <v>151</v>
      </c>
      <c r="E170" s="268" t="s">
        <v>332</v>
      </c>
      <c r="F170" s="268" t="s">
        <v>296</v>
      </c>
      <c r="G170">
        <v>66</v>
      </c>
      <c r="H170">
        <v>15906</v>
      </c>
    </row>
    <row r="171" spans="2:8" x14ac:dyDescent="0.3">
      <c r="B171" s="268" t="s">
        <v>215</v>
      </c>
      <c r="C171" s="268" t="s">
        <v>216</v>
      </c>
      <c r="D171" s="268" t="s">
        <v>151</v>
      </c>
      <c r="E171" s="268" t="s">
        <v>332</v>
      </c>
      <c r="F171" s="268" t="s">
        <v>297</v>
      </c>
      <c r="G171">
        <v>67</v>
      </c>
      <c r="H171">
        <v>14806</v>
      </c>
    </row>
    <row r="172" spans="2:8" x14ac:dyDescent="0.3">
      <c r="B172" s="268" t="s">
        <v>215</v>
      </c>
      <c r="C172" s="268" t="s">
        <v>216</v>
      </c>
      <c r="D172" s="268" t="s">
        <v>151</v>
      </c>
      <c r="E172" s="268" t="s">
        <v>332</v>
      </c>
      <c r="F172" s="268" t="s">
        <v>298</v>
      </c>
      <c r="G172">
        <v>68</v>
      </c>
      <c r="H172">
        <v>13429</v>
      </c>
    </row>
    <row r="173" spans="2:8" x14ac:dyDescent="0.3">
      <c r="B173" s="268" t="s">
        <v>215</v>
      </c>
      <c r="C173" s="268" t="s">
        <v>216</v>
      </c>
      <c r="D173" s="268" t="s">
        <v>151</v>
      </c>
      <c r="E173" s="268" t="s">
        <v>332</v>
      </c>
      <c r="F173" s="268" t="s">
        <v>299</v>
      </c>
      <c r="G173">
        <v>69</v>
      </c>
      <c r="H173">
        <v>12929</v>
      </c>
    </row>
    <row r="174" spans="2:8" x14ac:dyDescent="0.3">
      <c r="B174" s="268" t="s">
        <v>215</v>
      </c>
      <c r="C174" s="268" t="s">
        <v>216</v>
      </c>
      <c r="D174" s="268" t="s">
        <v>151</v>
      </c>
      <c r="E174" s="268" t="s">
        <v>332</v>
      </c>
      <c r="F174" s="268" t="s">
        <v>300</v>
      </c>
      <c r="G174">
        <v>70</v>
      </c>
      <c r="H174">
        <v>12469</v>
      </c>
    </row>
    <row r="175" spans="2:8" x14ac:dyDescent="0.3">
      <c r="B175" s="268" t="s">
        <v>215</v>
      </c>
      <c r="C175" s="268" t="s">
        <v>216</v>
      </c>
      <c r="D175" s="268" t="s">
        <v>151</v>
      </c>
      <c r="E175" s="268" t="s">
        <v>332</v>
      </c>
      <c r="F175" s="268" t="s">
        <v>301</v>
      </c>
      <c r="G175">
        <v>71</v>
      </c>
      <c r="H175">
        <v>11561</v>
      </c>
    </row>
    <row r="176" spans="2:8" x14ac:dyDescent="0.3">
      <c r="B176" s="268" t="s">
        <v>215</v>
      </c>
      <c r="C176" s="268" t="s">
        <v>216</v>
      </c>
      <c r="D176" s="268" t="s">
        <v>151</v>
      </c>
      <c r="E176" s="268" t="s">
        <v>332</v>
      </c>
      <c r="F176" s="268" t="s">
        <v>302</v>
      </c>
      <c r="G176">
        <v>72</v>
      </c>
      <c r="H176">
        <v>10708</v>
      </c>
    </row>
    <row r="177" spans="2:8" x14ac:dyDescent="0.3">
      <c r="B177" s="268" t="s">
        <v>215</v>
      </c>
      <c r="C177" s="268" t="s">
        <v>216</v>
      </c>
      <c r="D177" s="268" t="s">
        <v>151</v>
      </c>
      <c r="E177" s="268" t="s">
        <v>332</v>
      </c>
      <c r="F177" s="268" t="s">
        <v>303</v>
      </c>
      <c r="G177">
        <v>73</v>
      </c>
      <c r="H177">
        <v>10599</v>
      </c>
    </row>
    <row r="178" spans="2:8" x14ac:dyDescent="0.3">
      <c r="B178" s="268" t="s">
        <v>215</v>
      </c>
      <c r="C178" s="268" t="s">
        <v>216</v>
      </c>
      <c r="D178" s="268" t="s">
        <v>151</v>
      </c>
      <c r="E178" s="268" t="s">
        <v>332</v>
      </c>
      <c r="F178" s="268" t="s">
        <v>304</v>
      </c>
      <c r="G178">
        <v>74</v>
      </c>
      <c r="H178">
        <v>7956</v>
      </c>
    </row>
    <row r="179" spans="2:8" x14ac:dyDescent="0.3">
      <c r="B179" s="268" t="s">
        <v>215</v>
      </c>
      <c r="C179" s="268" t="s">
        <v>216</v>
      </c>
      <c r="D179" s="268" t="s">
        <v>151</v>
      </c>
      <c r="E179" s="268" t="s">
        <v>332</v>
      </c>
      <c r="F179" s="268" t="s">
        <v>305</v>
      </c>
      <c r="G179">
        <v>75</v>
      </c>
      <c r="H179">
        <v>7442</v>
      </c>
    </row>
    <row r="180" spans="2:8" x14ac:dyDescent="0.3">
      <c r="B180" s="268" t="s">
        <v>215</v>
      </c>
      <c r="C180" s="268" t="s">
        <v>216</v>
      </c>
      <c r="D180" s="268" t="s">
        <v>151</v>
      </c>
      <c r="E180" s="268" t="s">
        <v>332</v>
      </c>
      <c r="F180" s="268" t="s">
        <v>306</v>
      </c>
      <c r="G180">
        <v>76</v>
      </c>
      <c r="H180">
        <v>6860</v>
      </c>
    </row>
    <row r="181" spans="2:8" x14ac:dyDescent="0.3">
      <c r="B181" s="268" t="s">
        <v>215</v>
      </c>
      <c r="C181" s="268" t="s">
        <v>216</v>
      </c>
      <c r="D181" s="268" t="s">
        <v>151</v>
      </c>
      <c r="E181" s="268" t="s">
        <v>332</v>
      </c>
      <c r="F181" s="268" t="s">
        <v>307</v>
      </c>
      <c r="G181">
        <v>77</v>
      </c>
      <c r="H181">
        <v>6303</v>
      </c>
    </row>
    <row r="182" spans="2:8" x14ac:dyDescent="0.3">
      <c r="B182" s="268" t="s">
        <v>215</v>
      </c>
      <c r="C182" s="268" t="s">
        <v>216</v>
      </c>
      <c r="D182" s="268" t="s">
        <v>151</v>
      </c>
      <c r="E182" s="268" t="s">
        <v>332</v>
      </c>
      <c r="F182" s="268" t="s">
        <v>308</v>
      </c>
      <c r="G182">
        <v>78</v>
      </c>
      <c r="H182">
        <v>5540</v>
      </c>
    </row>
    <row r="183" spans="2:8" x14ac:dyDescent="0.3">
      <c r="B183" s="268" t="s">
        <v>215</v>
      </c>
      <c r="C183" s="268" t="s">
        <v>216</v>
      </c>
      <c r="D183" s="268" t="s">
        <v>151</v>
      </c>
      <c r="E183" s="268" t="s">
        <v>332</v>
      </c>
      <c r="F183" s="268" t="s">
        <v>309</v>
      </c>
      <c r="G183">
        <v>79</v>
      </c>
      <c r="H183">
        <v>4946</v>
      </c>
    </row>
    <row r="184" spans="2:8" x14ac:dyDescent="0.3">
      <c r="B184" s="268" t="s">
        <v>215</v>
      </c>
      <c r="C184" s="268" t="s">
        <v>216</v>
      </c>
      <c r="D184" s="268" t="s">
        <v>151</v>
      </c>
      <c r="E184" s="268" t="s">
        <v>332</v>
      </c>
      <c r="F184" s="268" t="s">
        <v>310</v>
      </c>
      <c r="G184">
        <v>80</v>
      </c>
      <c r="H184">
        <v>4563</v>
      </c>
    </row>
    <row r="185" spans="2:8" x14ac:dyDescent="0.3">
      <c r="B185" s="268" t="s">
        <v>215</v>
      </c>
      <c r="C185" s="268" t="s">
        <v>216</v>
      </c>
      <c r="D185" s="268" t="s">
        <v>151</v>
      </c>
      <c r="E185" s="268" t="s">
        <v>332</v>
      </c>
      <c r="F185" s="268" t="s">
        <v>311</v>
      </c>
      <c r="G185">
        <v>81</v>
      </c>
      <c r="H185">
        <v>3810</v>
      </c>
    </row>
    <row r="186" spans="2:8" x14ac:dyDescent="0.3">
      <c r="B186" s="268" t="s">
        <v>215</v>
      </c>
      <c r="C186" s="268" t="s">
        <v>216</v>
      </c>
      <c r="D186" s="268" t="s">
        <v>151</v>
      </c>
      <c r="E186" s="268" t="s">
        <v>332</v>
      </c>
      <c r="F186" s="268" t="s">
        <v>312</v>
      </c>
      <c r="G186">
        <v>82</v>
      </c>
      <c r="H186">
        <v>3440</v>
      </c>
    </row>
    <row r="187" spans="2:8" x14ac:dyDescent="0.3">
      <c r="B187" s="268" t="s">
        <v>215</v>
      </c>
      <c r="C187" s="268" t="s">
        <v>216</v>
      </c>
      <c r="D187" s="268" t="s">
        <v>151</v>
      </c>
      <c r="E187" s="268" t="s">
        <v>332</v>
      </c>
      <c r="F187" s="268" t="s">
        <v>313</v>
      </c>
      <c r="G187">
        <v>83</v>
      </c>
      <c r="H187">
        <v>2945</v>
      </c>
    </row>
    <row r="188" spans="2:8" x14ac:dyDescent="0.3">
      <c r="B188" s="268" t="s">
        <v>215</v>
      </c>
      <c r="C188" s="268" t="s">
        <v>216</v>
      </c>
      <c r="D188" s="268" t="s">
        <v>151</v>
      </c>
      <c r="E188" s="268" t="s">
        <v>332</v>
      </c>
      <c r="F188" s="268" t="s">
        <v>314</v>
      </c>
      <c r="G188">
        <v>84</v>
      </c>
      <c r="H188">
        <v>2599</v>
      </c>
    </row>
    <row r="189" spans="2:8" x14ac:dyDescent="0.3">
      <c r="B189" s="268" t="s">
        <v>215</v>
      </c>
      <c r="C189" s="268" t="s">
        <v>216</v>
      </c>
      <c r="D189" s="268" t="s">
        <v>151</v>
      </c>
      <c r="E189" s="268" t="s">
        <v>332</v>
      </c>
      <c r="F189" s="268" t="s">
        <v>315</v>
      </c>
      <c r="G189">
        <v>85</v>
      </c>
      <c r="H189">
        <v>2296</v>
      </c>
    </row>
    <row r="190" spans="2:8" x14ac:dyDescent="0.3">
      <c r="B190" s="268" t="s">
        <v>215</v>
      </c>
      <c r="C190" s="268" t="s">
        <v>216</v>
      </c>
      <c r="D190" s="268" t="s">
        <v>151</v>
      </c>
      <c r="E190" s="268" t="s">
        <v>332</v>
      </c>
      <c r="F190" s="268" t="s">
        <v>316</v>
      </c>
      <c r="G190">
        <v>86</v>
      </c>
      <c r="H190">
        <v>1840</v>
      </c>
    </row>
    <row r="191" spans="2:8" x14ac:dyDescent="0.3">
      <c r="B191" s="268" t="s">
        <v>215</v>
      </c>
      <c r="C191" s="268" t="s">
        <v>216</v>
      </c>
      <c r="D191" s="268" t="s">
        <v>151</v>
      </c>
      <c r="E191" s="268" t="s">
        <v>332</v>
      </c>
      <c r="F191" s="268" t="s">
        <v>317</v>
      </c>
      <c r="G191">
        <v>87</v>
      </c>
      <c r="H191">
        <v>1626</v>
      </c>
    </row>
    <row r="192" spans="2:8" x14ac:dyDescent="0.3">
      <c r="B192" s="268" t="s">
        <v>215</v>
      </c>
      <c r="C192" s="268" t="s">
        <v>216</v>
      </c>
      <c r="D192" s="268" t="s">
        <v>151</v>
      </c>
      <c r="E192" s="268" t="s">
        <v>332</v>
      </c>
      <c r="F192" s="268" t="s">
        <v>318</v>
      </c>
      <c r="G192">
        <v>88</v>
      </c>
      <c r="H192">
        <v>1353</v>
      </c>
    </row>
    <row r="193" spans="1:8" x14ac:dyDescent="0.3">
      <c r="B193" s="268" t="s">
        <v>215</v>
      </c>
      <c r="C193" s="268" t="s">
        <v>216</v>
      </c>
      <c r="D193" s="268" t="s">
        <v>151</v>
      </c>
      <c r="E193" s="268" t="s">
        <v>332</v>
      </c>
      <c r="F193" s="268" t="s">
        <v>319</v>
      </c>
      <c r="G193">
        <v>89</v>
      </c>
      <c r="H193">
        <v>1109</v>
      </c>
    </row>
    <row r="194" spans="1:8" x14ac:dyDescent="0.3">
      <c r="B194" s="268" t="s">
        <v>215</v>
      </c>
      <c r="C194" s="268" t="s">
        <v>216</v>
      </c>
      <c r="D194" s="268" t="s">
        <v>151</v>
      </c>
      <c r="E194" s="268" t="s">
        <v>332</v>
      </c>
      <c r="F194" s="268" t="s">
        <v>320</v>
      </c>
      <c r="G194">
        <v>90</v>
      </c>
      <c r="H194">
        <v>1032</v>
      </c>
    </row>
    <row r="195" spans="1:8" x14ac:dyDescent="0.3">
      <c r="B195" s="268" t="s">
        <v>215</v>
      </c>
      <c r="C195" s="268" t="s">
        <v>216</v>
      </c>
      <c r="D195" s="268" t="s">
        <v>151</v>
      </c>
      <c r="E195" s="268" t="s">
        <v>332</v>
      </c>
      <c r="F195" s="268" t="s">
        <v>321</v>
      </c>
      <c r="G195">
        <v>91</v>
      </c>
      <c r="H195">
        <v>793</v>
      </c>
    </row>
    <row r="196" spans="1:8" x14ac:dyDescent="0.3">
      <c r="B196" s="268" t="s">
        <v>215</v>
      </c>
      <c r="C196" s="268" t="s">
        <v>216</v>
      </c>
      <c r="D196" s="268" t="s">
        <v>151</v>
      </c>
      <c r="E196" s="268" t="s">
        <v>332</v>
      </c>
      <c r="F196" s="268" t="s">
        <v>322</v>
      </c>
      <c r="G196">
        <v>92</v>
      </c>
      <c r="H196">
        <v>649</v>
      </c>
    </row>
    <row r="197" spans="1:8" x14ac:dyDescent="0.3">
      <c r="B197" s="268" t="s">
        <v>215</v>
      </c>
      <c r="C197" s="268" t="s">
        <v>216</v>
      </c>
      <c r="D197" s="268" t="s">
        <v>151</v>
      </c>
      <c r="E197" s="268" t="s">
        <v>332</v>
      </c>
      <c r="F197" s="268" t="s">
        <v>323</v>
      </c>
      <c r="G197">
        <v>93</v>
      </c>
      <c r="H197">
        <v>498</v>
      </c>
    </row>
    <row r="198" spans="1:8" x14ac:dyDescent="0.3">
      <c r="B198" s="268" t="s">
        <v>215</v>
      </c>
      <c r="C198" s="268" t="s">
        <v>216</v>
      </c>
      <c r="D198" s="268" t="s">
        <v>151</v>
      </c>
      <c r="E198" s="268" t="s">
        <v>332</v>
      </c>
      <c r="F198" s="268" t="s">
        <v>324</v>
      </c>
      <c r="G198">
        <v>94</v>
      </c>
      <c r="H198">
        <v>393</v>
      </c>
    </row>
    <row r="199" spans="1:8" x14ac:dyDescent="0.3">
      <c r="B199" s="268" t="s">
        <v>215</v>
      </c>
      <c r="C199" s="268" t="s">
        <v>216</v>
      </c>
      <c r="D199" s="268" t="s">
        <v>151</v>
      </c>
      <c r="E199" s="268" t="s">
        <v>332</v>
      </c>
      <c r="F199" s="268" t="s">
        <v>325</v>
      </c>
      <c r="G199">
        <v>95</v>
      </c>
      <c r="H199">
        <v>306</v>
      </c>
    </row>
    <row r="200" spans="1:8" x14ac:dyDescent="0.3">
      <c r="B200" s="268" t="s">
        <v>215</v>
      </c>
      <c r="C200" s="268" t="s">
        <v>216</v>
      </c>
      <c r="D200" s="268" t="s">
        <v>151</v>
      </c>
      <c r="E200" s="268" t="s">
        <v>332</v>
      </c>
      <c r="F200" s="268" t="s">
        <v>326</v>
      </c>
      <c r="G200">
        <v>96</v>
      </c>
      <c r="H200">
        <v>230</v>
      </c>
    </row>
    <row r="201" spans="1:8" x14ac:dyDescent="0.3">
      <c r="B201" s="268" t="s">
        <v>215</v>
      </c>
      <c r="C201" s="268" t="s">
        <v>216</v>
      </c>
      <c r="D201" s="268" t="s">
        <v>151</v>
      </c>
      <c r="E201" s="268" t="s">
        <v>332</v>
      </c>
      <c r="F201" s="268" t="s">
        <v>327</v>
      </c>
      <c r="G201">
        <v>97</v>
      </c>
      <c r="H201">
        <v>178</v>
      </c>
    </row>
    <row r="202" spans="1:8" x14ac:dyDescent="0.3">
      <c r="B202" s="268" t="s">
        <v>215</v>
      </c>
      <c r="C202" s="268" t="s">
        <v>216</v>
      </c>
      <c r="D202" s="268" t="s">
        <v>151</v>
      </c>
      <c r="E202" s="268" t="s">
        <v>332</v>
      </c>
      <c r="F202" s="268" t="s">
        <v>328</v>
      </c>
      <c r="G202">
        <v>98</v>
      </c>
      <c r="H202">
        <v>119</v>
      </c>
    </row>
    <row r="203" spans="1:8" x14ac:dyDescent="0.3">
      <c r="B203" s="268" t="s">
        <v>215</v>
      </c>
      <c r="C203" s="268" t="s">
        <v>216</v>
      </c>
      <c r="D203" s="268" t="s">
        <v>151</v>
      </c>
      <c r="E203" s="268" t="s">
        <v>332</v>
      </c>
      <c r="F203" s="268" t="s">
        <v>329</v>
      </c>
      <c r="G203">
        <v>99</v>
      </c>
      <c r="H203">
        <v>79</v>
      </c>
    </row>
    <row r="204" spans="1:8" x14ac:dyDescent="0.3">
      <c r="B204" s="268" t="s">
        <v>215</v>
      </c>
      <c r="C204" s="268" t="s">
        <v>216</v>
      </c>
      <c r="D204" s="268" t="s">
        <v>151</v>
      </c>
      <c r="E204" s="268" t="s">
        <v>332</v>
      </c>
      <c r="F204" s="268" t="s">
        <v>330</v>
      </c>
      <c r="G204" t="s">
        <v>331</v>
      </c>
      <c r="H204">
        <v>122</v>
      </c>
    </row>
    <row r="205" spans="1:8" x14ac:dyDescent="0.3">
      <c r="A205" s="268" t="s">
        <v>70</v>
      </c>
      <c r="B205" s="268" t="s">
        <v>215</v>
      </c>
      <c r="C205" s="268" t="s">
        <v>216</v>
      </c>
      <c r="D205" s="268" t="s">
        <v>151</v>
      </c>
      <c r="E205" s="268" t="s">
        <v>332</v>
      </c>
      <c r="H205">
        <v>2139168</v>
      </c>
    </row>
    <row r="206" spans="1:8" x14ac:dyDescent="0.3">
      <c r="A206" s="268" t="s">
        <v>70</v>
      </c>
      <c r="B206" s="268" t="s">
        <v>215</v>
      </c>
      <c r="C206" s="268" t="s">
        <v>216</v>
      </c>
      <c r="H206">
        <v>4242239</v>
      </c>
    </row>
    <row r="207" spans="1:8" x14ac:dyDescent="0.3">
      <c r="B207" s="268" t="s">
        <v>333</v>
      </c>
      <c r="C207" s="268" t="s">
        <v>334</v>
      </c>
      <c r="D207" s="268" t="s">
        <v>152</v>
      </c>
      <c r="E207" s="268" t="s">
        <v>217</v>
      </c>
      <c r="F207" s="268" t="s">
        <v>218</v>
      </c>
      <c r="G207">
        <v>0</v>
      </c>
      <c r="H207">
        <v>111278</v>
      </c>
    </row>
    <row r="208" spans="1:8" x14ac:dyDescent="0.3">
      <c r="B208" s="268" t="s">
        <v>333</v>
      </c>
      <c r="C208" s="268" t="s">
        <v>334</v>
      </c>
      <c r="D208" s="268" t="s">
        <v>152</v>
      </c>
      <c r="E208" s="268" t="s">
        <v>217</v>
      </c>
      <c r="F208" s="268" t="s">
        <v>220</v>
      </c>
      <c r="G208">
        <v>1</v>
      </c>
      <c r="H208">
        <v>111952</v>
      </c>
    </row>
    <row r="209" spans="2:8" x14ac:dyDescent="0.3">
      <c r="B209" s="268" t="s">
        <v>333</v>
      </c>
      <c r="C209" s="268" t="s">
        <v>334</v>
      </c>
      <c r="D209" s="268" t="s">
        <v>152</v>
      </c>
      <c r="E209" s="268" t="s">
        <v>217</v>
      </c>
      <c r="F209" s="268" t="s">
        <v>221</v>
      </c>
      <c r="G209">
        <v>2</v>
      </c>
      <c r="H209">
        <v>112507</v>
      </c>
    </row>
    <row r="210" spans="2:8" x14ac:dyDescent="0.3">
      <c r="B210" s="268" t="s">
        <v>333</v>
      </c>
      <c r="C210" s="268" t="s">
        <v>334</v>
      </c>
      <c r="D210" s="268" t="s">
        <v>152</v>
      </c>
      <c r="E210" s="268" t="s">
        <v>217</v>
      </c>
      <c r="F210" s="268" t="s">
        <v>223</v>
      </c>
      <c r="G210">
        <v>3</v>
      </c>
      <c r="H210">
        <v>112687</v>
      </c>
    </row>
    <row r="211" spans="2:8" x14ac:dyDescent="0.3">
      <c r="B211" s="268" t="s">
        <v>333</v>
      </c>
      <c r="C211" s="268" t="s">
        <v>334</v>
      </c>
      <c r="D211" s="268" t="s">
        <v>152</v>
      </c>
      <c r="E211" s="268" t="s">
        <v>217</v>
      </c>
      <c r="F211" s="268" t="s">
        <v>225</v>
      </c>
      <c r="G211">
        <v>4</v>
      </c>
      <c r="H211">
        <v>112411</v>
      </c>
    </row>
    <row r="212" spans="2:8" x14ac:dyDescent="0.3">
      <c r="B212" s="268" t="s">
        <v>333</v>
      </c>
      <c r="C212" s="268" t="s">
        <v>334</v>
      </c>
      <c r="D212" s="268" t="s">
        <v>152</v>
      </c>
      <c r="E212" s="268" t="s">
        <v>217</v>
      </c>
      <c r="F212" s="268" t="s">
        <v>226</v>
      </c>
      <c r="G212">
        <v>5</v>
      </c>
      <c r="H212">
        <v>111825</v>
      </c>
    </row>
    <row r="213" spans="2:8" x14ac:dyDescent="0.3">
      <c r="B213" s="268" t="s">
        <v>333</v>
      </c>
      <c r="C213" s="268" t="s">
        <v>334</v>
      </c>
      <c r="D213" s="268" t="s">
        <v>152</v>
      </c>
      <c r="E213" s="268" t="s">
        <v>217</v>
      </c>
      <c r="F213" s="268" t="s">
        <v>227</v>
      </c>
      <c r="G213">
        <v>6</v>
      </c>
      <c r="H213">
        <v>111073</v>
      </c>
    </row>
    <row r="214" spans="2:8" x14ac:dyDescent="0.3">
      <c r="B214" s="268" t="s">
        <v>333</v>
      </c>
      <c r="C214" s="268" t="s">
        <v>334</v>
      </c>
      <c r="D214" s="268" t="s">
        <v>152</v>
      </c>
      <c r="E214" s="268" t="s">
        <v>217</v>
      </c>
      <c r="F214" s="268" t="s">
        <v>229</v>
      </c>
      <c r="G214">
        <v>7</v>
      </c>
      <c r="H214">
        <v>107610</v>
      </c>
    </row>
    <row r="215" spans="2:8" x14ac:dyDescent="0.3">
      <c r="B215" s="268" t="s">
        <v>333</v>
      </c>
      <c r="C215" s="268" t="s">
        <v>334</v>
      </c>
      <c r="D215" s="268" t="s">
        <v>152</v>
      </c>
      <c r="E215" s="268" t="s">
        <v>217</v>
      </c>
      <c r="F215" s="268" t="s">
        <v>230</v>
      </c>
      <c r="G215">
        <v>8</v>
      </c>
      <c r="H215">
        <v>109680</v>
      </c>
    </row>
    <row r="216" spans="2:8" x14ac:dyDescent="0.3">
      <c r="B216" s="268" t="s">
        <v>333</v>
      </c>
      <c r="C216" s="268" t="s">
        <v>334</v>
      </c>
      <c r="D216" s="268" t="s">
        <v>152</v>
      </c>
      <c r="E216" s="268" t="s">
        <v>217</v>
      </c>
      <c r="F216" s="268" t="s">
        <v>231</v>
      </c>
      <c r="G216">
        <v>9</v>
      </c>
      <c r="H216">
        <v>110308</v>
      </c>
    </row>
    <row r="217" spans="2:8" x14ac:dyDescent="0.3">
      <c r="B217" s="268" t="s">
        <v>333</v>
      </c>
      <c r="C217" s="268" t="s">
        <v>334</v>
      </c>
      <c r="D217" s="268" t="s">
        <v>152</v>
      </c>
      <c r="E217" s="268" t="s">
        <v>217</v>
      </c>
      <c r="F217" s="268" t="s">
        <v>233</v>
      </c>
      <c r="G217">
        <v>10</v>
      </c>
      <c r="H217">
        <v>109319</v>
      </c>
    </row>
    <row r="218" spans="2:8" x14ac:dyDescent="0.3">
      <c r="B218" s="268" t="s">
        <v>333</v>
      </c>
      <c r="C218" s="268" t="s">
        <v>334</v>
      </c>
      <c r="D218" s="268" t="s">
        <v>152</v>
      </c>
      <c r="E218" s="268" t="s">
        <v>217</v>
      </c>
      <c r="F218" s="268" t="s">
        <v>234</v>
      </c>
      <c r="G218">
        <v>11</v>
      </c>
      <c r="H218">
        <v>107429</v>
      </c>
    </row>
    <row r="219" spans="2:8" x14ac:dyDescent="0.3">
      <c r="B219" s="268" t="s">
        <v>333</v>
      </c>
      <c r="C219" s="268" t="s">
        <v>334</v>
      </c>
      <c r="D219" s="268" t="s">
        <v>152</v>
      </c>
      <c r="E219" s="268" t="s">
        <v>217</v>
      </c>
      <c r="F219" s="268" t="s">
        <v>235</v>
      </c>
      <c r="G219">
        <v>12</v>
      </c>
      <c r="H219">
        <v>111151</v>
      </c>
    </row>
    <row r="220" spans="2:8" x14ac:dyDescent="0.3">
      <c r="B220" s="268" t="s">
        <v>333</v>
      </c>
      <c r="C220" s="268" t="s">
        <v>334</v>
      </c>
      <c r="D220" s="268" t="s">
        <v>152</v>
      </c>
      <c r="E220" s="268" t="s">
        <v>217</v>
      </c>
      <c r="F220" s="268" t="s">
        <v>237</v>
      </c>
      <c r="G220">
        <v>13</v>
      </c>
      <c r="H220">
        <v>109371</v>
      </c>
    </row>
    <row r="221" spans="2:8" x14ac:dyDescent="0.3">
      <c r="B221" s="268" t="s">
        <v>333</v>
      </c>
      <c r="C221" s="268" t="s">
        <v>334</v>
      </c>
      <c r="D221" s="268" t="s">
        <v>152</v>
      </c>
      <c r="E221" s="268" t="s">
        <v>217</v>
      </c>
      <c r="F221" s="268" t="s">
        <v>239</v>
      </c>
      <c r="G221">
        <v>14</v>
      </c>
      <c r="H221">
        <v>109500</v>
      </c>
    </row>
    <row r="222" spans="2:8" x14ac:dyDescent="0.3">
      <c r="B222" s="268" t="s">
        <v>333</v>
      </c>
      <c r="C222" s="268" t="s">
        <v>334</v>
      </c>
      <c r="D222" s="268" t="s">
        <v>152</v>
      </c>
      <c r="E222" s="268" t="s">
        <v>217</v>
      </c>
      <c r="F222" s="268" t="s">
        <v>241</v>
      </c>
      <c r="G222">
        <v>15</v>
      </c>
      <c r="H222">
        <v>112605</v>
      </c>
    </row>
    <row r="223" spans="2:8" x14ac:dyDescent="0.3">
      <c r="B223" s="268" t="s">
        <v>333</v>
      </c>
      <c r="C223" s="268" t="s">
        <v>334</v>
      </c>
      <c r="D223" s="268" t="s">
        <v>152</v>
      </c>
      <c r="E223" s="268" t="s">
        <v>217</v>
      </c>
      <c r="F223" s="268" t="s">
        <v>243</v>
      </c>
      <c r="G223">
        <v>16</v>
      </c>
      <c r="H223">
        <v>114193</v>
      </c>
    </row>
    <row r="224" spans="2:8" x14ac:dyDescent="0.3">
      <c r="B224" s="268" t="s">
        <v>333</v>
      </c>
      <c r="C224" s="268" t="s">
        <v>334</v>
      </c>
      <c r="D224" s="268" t="s">
        <v>152</v>
      </c>
      <c r="E224" s="268" t="s">
        <v>217</v>
      </c>
      <c r="F224" s="268" t="s">
        <v>245</v>
      </c>
      <c r="G224">
        <v>17</v>
      </c>
      <c r="H224">
        <v>115491</v>
      </c>
    </row>
    <row r="225" spans="2:8" x14ac:dyDescent="0.3">
      <c r="B225" s="268" t="s">
        <v>333</v>
      </c>
      <c r="C225" s="268" t="s">
        <v>334</v>
      </c>
      <c r="D225" s="268" t="s">
        <v>152</v>
      </c>
      <c r="E225" s="268" t="s">
        <v>217</v>
      </c>
      <c r="F225" s="268" t="s">
        <v>247</v>
      </c>
      <c r="G225">
        <v>18</v>
      </c>
      <c r="H225">
        <v>113751</v>
      </c>
    </row>
    <row r="226" spans="2:8" x14ac:dyDescent="0.3">
      <c r="B226" s="268" t="s">
        <v>333</v>
      </c>
      <c r="C226" s="268" t="s">
        <v>334</v>
      </c>
      <c r="D226" s="268" t="s">
        <v>152</v>
      </c>
      <c r="E226" s="268" t="s">
        <v>217</v>
      </c>
      <c r="F226" s="268" t="s">
        <v>249</v>
      </c>
      <c r="G226">
        <v>19</v>
      </c>
      <c r="H226">
        <v>120496</v>
      </c>
    </row>
    <row r="227" spans="2:8" x14ac:dyDescent="0.3">
      <c r="B227" s="268" t="s">
        <v>333</v>
      </c>
      <c r="C227" s="268" t="s">
        <v>334</v>
      </c>
      <c r="D227" s="268" t="s">
        <v>152</v>
      </c>
      <c r="E227" s="268" t="s">
        <v>217</v>
      </c>
      <c r="F227" s="268" t="s">
        <v>250</v>
      </c>
      <c r="G227">
        <v>20</v>
      </c>
      <c r="H227">
        <v>123438</v>
      </c>
    </row>
    <row r="228" spans="2:8" x14ac:dyDescent="0.3">
      <c r="B228" s="268" t="s">
        <v>333</v>
      </c>
      <c r="C228" s="268" t="s">
        <v>334</v>
      </c>
      <c r="D228" s="268" t="s">
        <v>152</v>
      </c>
      <c r="E228" s="268" t="s">
        <v>217</v>
      </c>
      <c r="F228" s="268" t="s">
        <v>251</v>
      </c>
      <c r="G228">
        <v>21</v>
      </c>
      <c r="H228">
        <v>124433</v>
      </c>
    </row>
    <row r="229" spans="2:8" x14ac:dyDescent="0.3">
      <c r="B229" s="268" t="s">
        <v>333</v>
      </c>
      <c r="C229" s="268" t="s">
        <v>334</v>
      </c>
      <c r="D229" s="268" t="s">
        <v>152</v>
      </c>
      <c r="E229" s="268" t="s">
        <v>217</v>
      </c>
      <c r="F229" s="268" t="s">
        <v>252</v>
      </c>
      <c r="G229">
        <v>22</v>
      </c>
      <c r="H229">
        <v>132031</v>
      </c>
    </row>
    <row r="230" spans="2:8" x14ac:dyDescent="0.3">
      <c r="B230" s="268" t="s">
        <v>333</v>
      </c>
      <c r="C230" s="268" t="s">
        <v>334</v>
      </c>
      <c r="D230" s="268" t="s">
        <v>152</v>
      </c>
      <c r="E230" s="268" t="s">
        <v>217</v>
      </c>
      <c r="F230" s="268" t="s">
        <v>253</v>
      </c>
      <c r="G230">
        <v>23</v>
      </c>
      <c r="H230">
        <v>138977</v>
      </c>
    </row>
    <row r="231" spans="2:8" x14ac:dyDescent="0.3">
      <c r="B231" s="268" t="s">
        <v>333</v>
      </c>
      <c r="C231" s="268" t="s">
        <v>334</v>
      </c>
      <c r="D231" s="268" t="s">
        <v>152</v>
      </c>
      <c r="E231" s="268" t="s">
        <v>217</v>
      </c>
      <c r="F231" s="268" t="s">
        <v>254</v>
      </c>
      <c r="G231">
        <v>24</v>
      </c>
      <c r="H231">
        <v>145227</v>
      </c>
    </row>
    <row r="232" spans="2:8" x14ac:dyDescent="0.3">
      <c r="B232" s="268" t="s">
        <v>333</v>
      </c>
      <c r="C232" s="268" t="s">
        <v>334</v>
      </c>
      <c r="D232" s="268" t="s">
        <v>152</v>
      </c>
      <c r="E232" s="268" t="s">
        <v>217</v>
      </c>
      <c r="F232" s="268" t="s">
        <v>255</v>
      </c>
      <c r="G232">
        <v>25</v>
      </c>
      <c r="H232">
        <v>149662</v>
      </c>
    </row>
    <row r="233" spans="2:8" x14ac:dyDescent="0.3">
      <c r="B233" s="268" t="s">
        <v>333</v>
      </c>
      <c r="C233" s="268" t="s">
        <v>334</v>
      </c>
      <c r="D233" s="268" t="s">
        <v>152</v>
      </c>
      <c r="E233" s="268" t="s">
        <v>217</v>
      </c>
      <c r="F233" s="268" t="s">
        <v>256</v>
      </c>
      <c r="G233">
        <v>26</v>
      </c>
      <c r="H233">
        <v>154464</v>
      </c>
    </row>
    <row r="234" spans="2:8" x14ac:dyDescent="0.3">
      <c r="B234" s="268" t="s">
        <v>333</v>
      </c>
      <c r="C234" s="268" t="s">
        <v>334</v>
      </c>
      <c r="D234" s="268" t="s">
        <v>152</v>
      </c>
      <c r="E234" s="268" t="s">
        <v>217</v>
      </c>
      <c r="F234" s="268" t="s">
        <v>257</v>
      </c>
      <c r="G234">
        <v>27</v>
      </c>
      <c r="H234">
        <v>158818</v>
      </c>
    </row>
    <row r="235" spans="2:8" x14ac:dyDescent="0.3">
      <c r="B235" s="268" t="s">
        <v>333</v>
      </c>
      <c r="C235" s="268" t="s">
        <v>334</v>
      </c>
      <c r="D235" s="268" t="s">
        <v>152</v>
      </c>
      <c r="E235" s="268" t="s">
        <v>217</v>
      </c>
      <c r="F235" s="268" t="s">
        <v>258</v>
      </c>
      <c r="G235">
        <v>28</v>
      </c>
      <c r="H235">
        <v>165773</v>
      </c>
    </row>
    <row r="236" spans="2:8" x14ac:dyDescent="0.3">
      <c r="B236" s="268" t="s">
        <v>333</v>
      </c>
      <c r="C236" s="268" t="s">
        <v>334</v>
      </c>
      <c r="D236" s="268" t="s">
        <v>152</v>
      </c>
      <c r="E236" s="268" t="s">
        <v>217</v>
      </c>
      <c r="F236" s="268" t="s">
        <v>259</v>
      </c>
      <c r="G236">
        <v>29</v>
      </c>
      <c r="H236">
        <v>175080</v>
      </c>
    </row>
    <row r="237" spans="2:8" x14ac:dyDescent="0.3">
      <c r="B237" s="268" t="s">
        <v>333</v>
      </c>
      <c r="C237" s="268" t="s">
        <v>334</v>
      </c>
      <c r="D237" s="268" t="s">
        <v>152</v>
      </c>
      <c r="E237" s="268" t="s">
        <v>217</v>
      </c>
      <c r="F237" s="268" t="s">
        <v>260</v>
      </c>
      <c r="G237">
        <v>30</v>
      </c>
      <c r="H237">
        <v>179514</v>
      </c>
    </row>
    <row r="238" spans="2:8" x14ac:dyDescent="0.3">
      <c r="B238" s="268" t="s">
        <v>333</v>
      </c>
      <c r="C238" s="268" t="s">
        <v>334</v>
      </c>
      <c r="D238" s="268" t="s">
        <v>152</v>
      </c>
      <c r="E238" s="268" t="s">
        <v>217</v>
      </c>
      <c r="F238" s="268" t="s">
        <v>261</v>
      </c>
      <c r="G238">
        <v>31</v>
      </c>
      <c r="H238">
        <v>181382</v>
      </c>
    </row>
    <row r="239" spans="2:8" x14ac:dyDescent="0.3">
      <c r="B239" s="268" t="s">
        <v>333</v>
      </c>
      <c r="C239" s="268" t="s">
        <v>334</v>
      </c>
      <c r="D239" s="268" t="s">
        <v>152</v>
      </c>
      <c r="E239" s="268" t="s">
        <v>217</v>
      </c>
      <c r="F239" s="268" t="s">
        <v>262</v>
      </c>
      <c r="G239">
        <v>32</v>
      </c>
      <c r="H239">
        <v>177419</v>
      </c>
    </row>
    <row r="240" spans="2:8" x14ac:dyDescent="0.3">
      <c r="B240" s="268" t="s">
        <v>333</v>
      </c>
      <c r="C240" s="268" t="s">
        <v>334</v>
      </c>
      <c r="D240" s="268" t="s">
        <v>152</v>
      </c>
      <c r="E240" s="268" t="s">
        <v>217</v>
      </c>
      <c r="F240" s="268" t="s">
        <v>263</v>
      </c>
      <c r="G240">
        <v>33</v>
      </c>
      <c r="H240">
        <v>173878</v>
      </c>
    </row>
    <row r="241" spans="2:8" x14ac:dyDescent="0.3">
      <c r="B241" s="268" t="s">
        <v>333</v>
      </c>
      <c r="C241" s="268" t="s">
        <v>334</v>
      </c>
      <c r="D241" s="268" t="s">
        <v>152</v>
      </c>
      <c r="E241" s="268" t="s">
        <v>217</v>
      </c>
      <c r="F241" s="268" t="s">
        <v>264</v>
      </c>
      <c r="G241">
        <v>34</v>
      </c>
      <c r="H241">
        <v>173346</v>
      </c>
    </row>
    <row r="242" spans="2:8" x14ac:dyDescent="0.3">
      <c r="B242" s="268" t="s">
        <v>333</v>
      </c>
      <c r="C242" s="268" t="s">
        <v>334</v>
      </c>
      <c r="D242" s="268" t="s">
        <v>152</v>
      </c>
      <c r="E242" s="268" t="s">
        <v>217</v>
      </c>
      <c r="F242" s="268" t="s">
        <v>265</v>
      </c>
      <c r="G242">
        <v>35</v>
      </c>
      <c r="H242">
        <v>175263</v>
      </c>
    </row>
    <row r="243" spans="2:8" x14ac:dyDescent="0.3">
      <c r="B243" s="268" t="s">
        <v>333</v>
      </c>
      <c r="C243" s="268" t="s">
        <v>334</v>
      </c>
      <c r="D243" s="268" t="s">
        <v>152</v>
      </c>
      <c r="E243" s="268" t="s">
        <v>217</v>
      </c>
      <c r="F243" s="268" t="s">
        <v>266</v>
      </c>
      <c r="G243">
        <v>36</v>
      </c>
      <c r="H243">
        <v>173420</v>
      </c>
    </row>
    <row r="244" spans="2:8" x14ac:dyDescent="0.3">
      <c r="B244" s="268" t="s">
        <v>333</v>
      </c>
      <c r="C244" s="268" t="s">
        <v>334</v>
      </c>
      <c r="D244" s="268" t="s">
        <v>152</v>
      </c>
      <c r="E244" s="268" t="s">
        <v>217</v>
      </c>
      <c r="F244" s="268" t="s">
        <v>267</v>
      </c>
      <c r="G244">
        <v>37</v>
      </c>
      <c r="H244">
        <v>174405</v>
      </c>
    </row>
    <row r="245" spans="2:8" x14ac:dyDescent="0.3">
      <c r="B245" s="268" t="s">
        <v>333</v>
      </c>
      <c r="C245" s="268" t="s">
        <v>334</v>
      </c>
      <c r="D245" s="268" t="s">
        <v>152</v>
      </c>
      <c r="E245" s="268" t="s">
        <v>217</v>
      </c>
      <c r="F245" s="268" t="s">
        <v>268</v>
      </c>
      <c r="G245">
        <v>38</v>
      </c>
      <c r="H245">
        <v>174648</v>
      </c>
    </row>
    <row r="246" spans="2:8" x14ac:dyDescent="0.3">
      <c r="B246" s="268" t="s">
        <v>333</v>
      </c>
      <c r="C246" s="268" t="s">
        <v>334</v>
      </c>
      <c r="D246" s="268" t="s">
        <v>152</v>
      </c>
      <c r="E246" s="268" t="s">
        <v>217</v>
      </c>
      <c r="F246" s="268" t="s">
        <v>269</v>
      </c>
      <c r="G246">
        <v>39</v>
      </c>
      <c r="H246">
        <v>169308</v>
      </c>
    </row>
    <row r="247" spans="2:8" x14ac:dyDescent="0.3">
      <c r="B247" s="268" t="s">
        <v>333</v>
      </c>
      <c r="C247" s="268" t="s">
        <v>334</v>
      </c>
      <c r="D247" s="268" t="s">
        <v>152</v>
      </c>
      <c r="E247" s="268" t="s">
        <v>217</v>
      </c>
      <c r="F247" s="268" t="s">
        <v>270</v>
      </c>
      <c r="G247">
        <v>40</v>
      </c>
      <c r="H247">
        <v>171249</v>
      </c>
    </row>
    <row r="248" spans="2:8" x14ac:dyDescent="0.3">
      <c r="B248" s="268" t="s">
        <v>333</v>
      </c>
      <c r="C248" s="268" t="s">
        <v>334</v>
      </c>
      <c r="D248" s="268" t="s">
        <v>152</v>
      </c>
      <c r="E248" s="268" t="s">
        <v>217</v>
      </c>
      <c r="F248" s="268" t="s">
        <v>271</v>
      </c>
      <c r="G248">
        <v>41</v>
      </c>
      <c r="H248">
        <v>163705</v>
      </c>
    </row>
    <row r="249" spans="2:8" x14ac:dyDescent="0.3">
      <c r="B249" s="268" t="s">
        <v>333</v>
      </c>
      <c r="C249" s="268" t="s">
        <v>334</v>
      </c>
      <c r="D249" s="268" t="s">
        <v>152</v>
      </c>
      <c r="E249" s="268" t="s">
        <v>217</v>
      </c>
      <c r="F249" s="268" t="s">
        <v>272</v>
      </c>
      <c r="G249">
        <v>42</v>
      </c>
      <c r="H249">
        <v>158746</v>
      </c>
    </row>
    <row r="250" spans="2:8" x14ac:dyDescent="0.3">
      <c r="B250" s="268" t="s">
        <v>333</v>
      </c>
      <c r="C250" s="268" t="s">
        <v>334</v>
      </c>
      <c r="D250" s="268" t="s">
        <v>152</v>
      </c>
      <c r="E250" s="268" t="s">
        <v>217</v>
      </c>
      <c r="F250" s="268" t="s">
        <v>273</v>
      </c>
      <c r="G250">
        <v>43</v>
      </c>
      <c r="H250">
        <v>158372</v>
      </c>
    </row>
    <row r="251" spans="2:8" x14ac:dyDescent="0.3">
      <c r="B251" s="268" t="s">
        <v>333</v>
      </c>
      <c r="C251" s="268" t="s">
        <v>334</v>
      </c>
      <c r="D251" s="268" t="s">
        <v>152</v>
      </c>
      <c r="E251" s="268" t="s">
        <v>217</v>
      </c>
      <c r="F251" s="268" t="s">
        <v>274</v>
      </c>
      <c r="G251">
        <v>44</v>
      </c>
      <c r="H251">
        <v>156744</v>
      </c>
    </row>
    <row r="252" spans="2:8" x14ac:dyDescent="0.3">
      <c r="B252" s="268" t="s">
        <v>333</v>
      </c>
      <c r="C252" s="268" t="s">
        <v>334</v>
      </c>
      <c r="D252" s="268" t="s">
        <v>152</v>
      </c>
      <c r="E252" s="268" t="s">
        <v>217</v>
      </c>
      <c r="F252" s="268" t="s">
        <v>275</v>
      </c>
      <c r="G252">
        <v>45</v>
      </c>
      <c r="H252">
        <v>160113</v>
      </c>
    </row>
    <row r="253" spans="2:8" x14ac:dyDescent="0.3">
      <c r="B253" s="268" t="s">
        <v>333</v>
      </c>
      <c r="C253" s="268" t="s">
        <v>334</v>
      </c>
      <c r="D253" s="268" t="s">
        <v>152</v>
      </c>
      <c r="E253" s="268" t="s">
        <v>217</v>
      </c>
      <c r="F253" s="268" t="s">
        <v>276</v>
      </c>
      <c r="G253">
        <v>46</v>
      </c>
      <c r="H253">
        <v>157091</v>
      </c>
    </row>
    <row r="254" spans="2:8" x14ac:dyDescent="0.3">
      <c r="B254" s="268" t="s">
        <v>333</v>
      </c>
      <c r="C254" s="268" t="s">
        <v>334</v>
      </c>
      <c r="D254" s="268" t="s">
        <v>152</v>
      </c>
      <c r="E254" s="268" t="s">
        <v>217</v>
      </c>
      <c r="F254" s="268" t="s">
        <v>277</v>
      </c>
      <c r="G254">
        <v>47</v>
      </c>
      <c r="H254">
        <v>157940</v>
      </c>
    </row>
    <row r="255" spans="2:8" x14ac:dyDescent="0.3">
      <c r="B255" s="268" t="s">
        <v>333</v>
      </c>
      <c r="C255" s="268" t="s">
        <v>334</v>
      </c>
      <c r="D255" s="268" t="s">
        <v>152</v>
      </c>
      <c r="E255" s="268" t="s">
        <v>217</v>
      </c>
      <c r="F255" s="268" t="s">
        <v>278</v>
      </c>
      <c r="G255">
        <v>48</v>
      </c>
      <c r="H255">
        <v>156974</v>
      </c>
    </row>
    <row r="256" spans="2:8" x14ac:dyDescent="0.3">
      <c r="B256" s="268" t="s">
        <v>333</v>
      </c>
      <c r="C256" s="268" t="s">
        <v>334</v>
      </c>
      <c r="D256" s="268" t="s">
        <v>152</v>
      </c>
      <c r="E256" s="268" t="s">
        <v>217</v>
      </c>
      <c r="F256" s="268" t="s">
        <v>279</v>
      </c>
      <c r="G256">
        <v>49</v>
      </c>
      <c r="H256">
        <v>153002</v>
      </c>
    </row>
    <row r="257" spans="2:8" x14ac:dyDescent="0.3">
      <c r="B257" s="268" t="s">
        <v>333</v>
      </c>
      <c r="C257" s="268" t="s">
        <v>334</v>
      </c>
      <c r="D257" s="268" t="s">
        <v>152</v>
      </c>
      <c r="E257" s="268" t="s">
        <v>217</v>
      </c>
      <c r="F257" s="268" t="s">
        <v>280</v>
      </c>
      <c r="G257">
        <v>50</v>
      </c>
      <c r="H257">
        <v>153190</v>
      </c>
    </row>
    <row r="258" spans="2:8" x14ac:dyDescent="0.3">
      <c r="B258" s="268" t="s">
        <v>333</v>
      </c>
      <c r="C258" s="268" t="s">
        <v>334</v>
      </c>
      <c r="D258" s="268" t="s">
        <v>152</v>
      </c>
      <c r="E258" s="268" t="s">
        <v>217</v>
      </c>
      <c r="F258" s="268" t="s">
        <v>281</v>
      </c>
      <c r="G258">
        <v>51</v>
      </c>
      <c r="H258">
        <v>144197</v>
      </c>
    </row>
    <row r="259" spans="2:8" x14ac:dyDescent="0.3">
      <c r="B259" s="268" t="s">
        <v>333</v>
      </c>
      <c r="C259" s="268" t="s">
        <v>334</v>
      </c>
      <c r="D259" s="268" t="s">
        <v>152</v>
      </c>
      <c r="E259" s="268" t="s">
        <v>217</v>
      </c>
      <c r="F259" s="268" t="s">
        <v>282</v>
      </c>
      <c r="G259">
        <v>52</v>
      </c>
      <c r="H259">
        <v>137833</v>
      </c>
    </row>
    <row r="260" spans="2:8" x14ac:dyDescent="0.3">
      <c r="B260" s="268" t="s">
        <v>333</v>
      </c>
      <c r="C260" s="268" t="s">
        <v>334</v>
      </c>
      <c r="D260" s="268" t="s">
        <v>152</v>
      </c>
      <c r="E260" s="268" t="s">
        <v>217</v>
      </c>
      <c r="F260" s="268" t="s">
        <v>283</v>
      </c>
      <c r="G260">
        <v>53</v>
      </c>
      <c r="H260">
        <v>127355</v>
      </c>
    </row>
    <row r="261" spans="2:8" x14ac:dyDescent="0.3">
      <c r="B261" s="268" t="s">
        <v>333</v>
      </c>
      <c r="C261" s="268" t="s">
        <v>334</v>
      </c>
      <c r="D261" s="268" t="s">
        <v>152</v>
      </c>
      <c r="E261" s="268" t="s">
        <v>217</v>
      </c>
      <c r="F261" s="268" t="s">
        <v>284</v>
      </c>
      <c r="G261">
        <v>54</v>
      </c>
      <c r="H261">
        <v>128279</v>
      </c>
    </row>
    <row r="262" spans="2:8" x14ac:dyDescent="0.3">
      <c r="B262" s="268" t="s">
        <v>333</v>
      </c>
      <c r="C262" s="268" t="s">
        <v>334</v>
      </c>
      <c r="D262" s="268" t="s">
        <v>152</v>
      </c>
      <c r="E262" s="268" t="s">
        <v>217</v>
      </c>
      <c r="F262" s="268" t="s">
        <v>285</v>
      </c>
      <c r="G262">
        <v>55</v>
      </c>
      <c r="H262">
        <v>129861</v>
      </c>
    </row>
    <row r="263" spans="2:8" x14ac:dyDescent="0.3">
      <c r="B263" s="268" t="s">
        <v>333</v>
      </c>
      <c r="C263" s="268" t="s">
        <v>334</v>
      </c>
      <c r="D263" s="268" t="s">
        <v>152</v>
      </c>
      <c r="E263" s="268" t="s">
        <v>217</v>
      </c>
      <c r="F263" s="268" t="s">
        <v>286</v>
      </c>
      <c r="G263">
        <v>56</v>
      </c>
      <c r="H263">
        <v>131817</v>
      </c>
    </row>
    <row r="264" spans="2:8" x14ac:dyDescent="0.3">
      <c r="B264" s="268" t="s">
        <v>333</v>
      </c>
      <c r="C264" s="268" t="s">
        <v>334</v>
      </c>
      <c r="D264" s="268" t="s">
        <v>152</v>
      </c>
      <c r="E264" s="268" t="s">
        <v>217</v>
      </c>
      <c r="F264" s="268" t="s">
        <v>287</v>
      </c>
      <c r="G264">
        <v>57</v>
      </c>
      <c r="H264">
        <v>130285</v>
      </c>
    </row>
    <row r="265" spans="2:8" x14ac:dyDescent="0.3">
      <c r="B265" s="268" t="s">
        <v>333</v>
      </c>
      <c r="C265" s="268" t="s">
        <v>334</v>
      </c>
      <c r="D265" s="268" t="s">
        <v>152</v>
      </c>
      <c r="E265" s="268" t="s">
        <v>217</v>
      </c>
      <c r="F265" s="268" t="s">
        <v>288</v>
      </c>
      <c r="G265">
        <v>58</v>
      </c>
      <c r="H265">
        <v>119663</v>
      </c>
    </row>
    <row r="266" spans="2:8" x14ac:dyDescent="0.3">
      <c r="B266" s="268" t="s">
        <v>333</v>
      </c>
      <c r="C266" s="268" t="s">
        <v>334</v>
      </c>
      <c r="D266" s="268" t="s">
        <v>152</v>
      </c>
      <c r="E266" s="268" t="s">
        <v>217</v>
      </c>
      <c r="F266" s="268" t="s">
        <v>289</v>
      </c>
      <c r="G266">
        <v>59</v>
      </c>
      <c r="H266">
        <v>118433</v>
      </c>
    </row>
    <row r="267" spans="2:8" x14ac:dyDescent="0.3">
      <c r="B267" s="268" t="s">
        <v>333</v>
      </c>
      <c r="C267" s="268" t="s">
        <v>334</v>
      </c>
      <c r="D267" s="268" t="s">
        <v>152</v>
      </c>
      <c r="E267" s="268" t="s">
        <v>217</v>
      </c>
      <c r="F267" s="268" t="s">
        <v>290</v>
      </c>
      <c r="G267">
        <v>60</v>
      </c>
      <c r="H267">
        <v>123654</v>
      </c>
    </row>
    <row r="268" spans="2:8" x14ac:dyDescent="0.3">
      <c r="B268" s="268" t="s">
        <v>333</v>
      </c>
      <c r="C268" s="268" t="s">
        <v>334</v>
      </c>
      <c r="D268" s="268" t="s">
        <v>152</v>
      </c>
      <c r="E268" s="268" t="s">
        <v>217</v>
      </c>
      <c r="F268" s="268" t="s">
        <v>291</v>
      </c>
      <c r="G268">
        <v>61</v>
      </c>
      <c r="H268">
        <v>116063</v>
      </c>
    </row>
    <row r="269" spans="2:8" x14ac:dyDescent="0.3">
      <c r="B269" s="268" t="s">
        <v>333</v>
      </c>
      <c r="C269" s="268" t="s">
        <v>334</v>
      </c>
      <c r="D269" s="268" t="s">
        <v>152</v>
      </c>
      <c r="E269" s="268" t="s">
        <v>217</v>
      </c>
      <c r="F269" s="268" t="s">
        <v>292</v>
      </c>
      <c r="G269">
        <v>62</v>
      </c>
      <c r="H269">
        <v>116001</v>
      </c>
    </row>
    <row r="270" spans="2:8" x14ac:dyDescent="0.3">
      <c r="B270" s="268" t="s">
        <v>333</v>
      </c>
      <c r="C270" s="268" t="s">
        <v>334</v>
      </c>
      <c r="D270" s="268" t="s">
        <v>152</v>
      </c>
      <c r="E270" s="268" t="s">
        <v>217</v>
      </c>
      <c r="F270" s="268" t="s">
        <v>293</v>
      </c>
      <c r="G270">
        <v>63</v>
      </c>
      <c r="H270">
        <v>112821</v>
      </c>
    </row>
    <row r="271" spans="2:8" x14ac:dyDescent="0.3">
      <c r="B271" s="268" t="s">
        <v>333</v>
      </c>
      <c r="C271" s="268" t="s">
        <v>334</v>
      </c>
      <c r="D271" s="268" t="s">
        <v>152</v>
      </c>
      <c r="E271" s="268" t="s">
        <v>217</v>
      </c>
      <c r="F271" s="268" t="s">
        <v>294</v>
      </c>
      <c r="G271">
        <v>64</v>
      </c>
      <c r="H271">
        <v>111938</v>
      </c>
    </row>
    <row r="272" spans="2:8" x14ac:dyDescent="0.3">
      <c r="B272" s="268" t="s">
        <v>333</v>
      </c>
      <c r="C272" s="268" t="s">
        <v>334</v>
      </c>
      <c r="D272" s="268" t="s">
        <v>152</v>
      </c>
      <c r="E272" s="268" t="s">
        <v>217</v>
      </c>
      <c r="F272" s="268" t="s">
        <v>295</v>
      </c>
      <c r="G272">
        <v>65</v>
      </c>
      <c r="H272">
        <v>111230</v>
      </c>
    </row>
    <row r="273" spans="2:8" x14ac:dyDescent="0.3">
      <c r="B273" s="268" t="s">
        <v>333</v>
      </c>
      <c r="C273" s="268" t="s">
        <v>334</v>
      </c>
      <c r="D273" s="268" t="s">
        <v>152</v>
      </c>
      <c r="E273" s="268" t="s">
        <v>217</v>
      </c>
      <c r="F273" s="268" t="s">
        <v>296</v>
      </c>
      <c r="G273">
        <v>66</v>
      </c>
      <c r="H273">
        <v>104103</v>
      </c>
    </row>
    <row r="274" spans="2:8" x14ac:dyDescent="0.3">
      <c r="B274" s="268" t="s">
        <v>333</v>
      </c>
      <c r="C274" s="268" t="s">
        <v>334</v>
      </c>
      <c r="D274" s="268" t="s">
        <v>152</v>
      </c>
      <c r="E274" s="268" t="s">
        <v>217</v>
      </c>
      <c r="F274" s="268" t="s">
        <v>297</v>
      </c>
      <c r="G274">
        <v>67</v>
      </c>
      <c r="H274">
        <v>99219</v>
      </c>
    </row>
    <row r="275" spans="2:8" x14ac:dyDescent="0.3">
      <c r="B275" s="268" t="s">
        <v>333</v>
      </c>
      <c r="C275" s="268" t="s">
        <v>334</v>
      </c>
      <c r="D275" s="268" t="s">
        <v>152</v>
      </c>
      <c r="E275" s="268" t="s">
        <v>217</v>
      </c>
      <c r="F275" s="268" t="s">
        <v>298</v>
      </c>
      <c r="G275">
        <v>68</v>
      </c>
      <c r="H275">
        <v>94007</v>
      </c>
    </row>
    <row r="276" spans="2:8" x14ac:dyDescent="0.3">
      <c r="B276" s="268" t="s">
        <v>333</v>
      </c>
      <c r="C276" s="268" t="s">
        <v>334</v>
      </c>
      <c r="D276" s="268" t="s">
        <v>152</v>
      </c>
      <c r="E276" s="268" t="s">
        <v>217</v>
      </c>
      <c r="F276" s="268" t="s">
        <v>299</v>
      </c>
      <c r="G276">
        <v>69</v>
      </c>
      <c r="H276">
        <v>90535</v>
      </c>
    </row>
    <row r="277" spans="2:8" x14ac:dyDescent="0.3">
      <c r="B277" s="268" t="s">
        <v>333</v>
      </c>
      <c r="C277" s="268" t="s">
        <v>334</v>
      </c>
      <c r="D277" s="268" t="s">
        <v>152</v>
      </c>
      <c r="E277" s="268" t="s">
        <v>217</v>
      </c>
      <c r="F277" s="268" t="s">
        <v>300</v>
      </c>
      <c r="G277">
        <v>70</v>
      </c>
      <c r="H277">
        <v>92920</v>
      </c>
    </row>
    <row r="278" spans="2:8" x14ac:dyDescent="0.3">
      <c r="B278" s="268" t="s">
        <v>333</v>
      </c>
      <c r="C278" s="268" t="s">
        <v>334</v>
      </c>
      <c r="D278" s="268" t="s">
        <v>152</v>
      </c>
      <c r="E278" s="268" t="s">
        <v>217</v>
      </c>
      <c r="F278" s="268" t="s">
        <v>301</v>
      </c>
      <c r="G278">
        <v>71</v>
      </c>
      <c r="H278">
        <v>85076</v>
      </c>
    </row>
    <row r="279" spans="2:8" x14ac:dyDescent="0.3">
      <c r="B279" s="268" t="s">
        <v>333</v>
      </c>
      <c r="C279" s="268" t="s">
        <v>334</v>
      </c>
      <c r="D279" s="268" t="s">
        <v>152</v>
      </c>
      <c r="E279" s="268" t="s">
        <v>217</v>
      </c>
      <c r="F279" s="268" t="s">
        <v>302</v>
      </c>
      <c r="G279">
        <v>72</v>
      </c>
      <c r="H279">
        <v>79565</v>
      </c>
    </row>
    <row r="280" spans="2:8" x14ac:dyDescent="0.3">
      <c r="B280" s="268" t="s">
        <v>333</v>
      </c>
      <c r="C280" s="268" t="s">
        <v>334</v>
      </c>
      <c r="D280" s="268" t="s">
        <v>152</v>
      </c>
      <c r="E280" s="268" t="s">
        <v>217</v>
      </c>
      <c r="F280" s="268" t="s">
        <v>303</v>
      </c>
      <c r="G280">
        <v>73</v>
      </c>
      <c r="H280">
        <v>74007</v>
      </c>
    </row>
    <row r="281" spans="2:8" x14ac:dyDescent="0.3">
      <c r="B281" s="268" t="s">
        <v>333</v>
      </c>
      <c r="C281" s="268" t="s">
        <v>334</v>
      </c>
      <c r="D281" s="268" t="s">
        <v>152</v>
      </c>
      <c r="E281" s="268" t="s">
        <v>217</v>
      </c>
      <c r="F281" s="268" t="s">
        <v>304</v>
      </c>
      <c r="G281">
        <v>74</v>
      </c>
      <c r="H281">
        <v>62442</v>
      </c>
    </row>
    <row r="282" spans="2:8" x14ac:dyDescent="0.3">
      <c r="B282" s="268" t="s">
        <v>333</v>
      </c>
      <c r="C282" s="268" t="s">
        <v>334</v>
      </c>
      <c r="D282" s="268" t="s">
        <v>152</v>
      </c>
      <c r="E282" s="268" t="s">
        <v>217</v>
      </c>
      <c r="F282" s="268" t="s">
        <v>305</v>
      </c>
      <c r="G282">
        <v>75</v>
      </c>
      <c r="H282">
        <v>59757</v>
      </c>
    </row>
    <row r="283" spans="2:8" x14ac:dyDescent="0.3">
      <c r="B283" s="268" t="s">
        <v>333</v>
      </c>
      <c r="C283" s="268" t="s">
        <v>334</v>
      </c>
      <c r="D283" s="268" t="s">
        <v>152</v>
      </c>
      <c r="E283" s="268" t="s">
        <v>217</v>
      </c>
      <c r="F283" s="268" t="s">
        <v>306</v>
      </c>
      <c r="G283">
        <v>76</v>
      </c>
      <c r="H283">
        <v>54445</v>
      </c>
    </row>
    <row r="284" spans="2:8" x14ac:dyDescent="0.3">
      <c r="B284" s="268" t="s">
        <v>333</v>
      </c>
      <c r="C284" s="268" t="s">
        <v>334</v>
      </c>
      <c r="D284" s="268" t="s">
        <v>152</v>
      </c>
      <c r="E284" s="268" t="s">
        <v>217</v>
      </c>
      <c r="F284" s="268" t="s">
        <v>307</v>
      </c>
      <c r="G284">
        <v>77</v>
      </c>
      <c r="H284">
        <v>49181</v>
      </c>
    </row>
    <row r="285" spans="2:8" x14ac:dyDescent="0.3">
      <c r="B285" s="268" t="s">
        <v>333</v>
      </c>
      <c r="C285" s="268" t="s">
        <v>334</v>
      </c>
      <c r="D285" s="268" t="s">
        <v>152</v>
      </c>
      <c r="E285" s="268" t="s">
        <v>217</v>
      </c>
      <c r="F285" s="268" t="s">
        <v>308</v>
      </c>
      <c r="G285">
        <v>78</v>
      </c>
      <c r="H285">
        <v>46612</v>
      </c>
    </row>
    <row r="286" spans="2:8" x14ac:dyDescent="0.3">
      <c r="B286" s="268" t="s">
        <v>333</v>
      </c>
      <c r="C286" s="268" t="s">
        <v>334</v>
      </c>
      <c r="D286" s="268" t="s">
        <v>152</v>
      </c>
      <c r="E286" s="268" t="s">
        <v>217</v>
      </c>
      <c r="F286" s="268" t="s">
        <v>309</v>
      </c>
      <c r="G286">
        <v>79</v>
      </c>
      <c r="H286">
        <v>41992</v>
      </c>
    </row>
    <row r="287" spans="2:8" x14ac:dyDescent="0.3">
      <c r="B287" s="268" t="s">
        <v>333</v>
      </c>
      <c r="C287" s="268" t="s">
        <v>334</v>
      </c>
      <c r="D287" s="268" t="s">
        <v>152</v>
      </c>
      <c r="E287" s="268" t="s">
        <v>217</v>
      </c>
      <c r="F287" s="268" t="s">
        <v>310</v>
      </c>
      <c r="G287">
        <v>80</v>
      </c>
      <c r="H287">
        <v>39489</v>
      </c>
    </row>
    <row r="288" spans="2:8" x14ac:dyDescent="0.3">
      <c r="B288" s="268" t="s">
        <v>333</v>
      </c>
      <c r="C288" s="268" t="s">
        <v>334</v>
      </c>
      <c r="D288" s="268" t="s">
        <v>152</v>
      </c>
      <c r="E288" s="268" t="s">
        <v>217</v>
      </c>
      <c r="F288" s="268" t="s">
        <v>311</v>
      </c>
      <c r="G288">
        <v>81</v>
      </c>
      <c r="H288">
        <v>34468</v>
      </c>
    </row>
    <row r="289" spans="2:8" x14ac:dyDescent="0.3">
      <c r="B289" s="268" t="s">
        <v>333</v>
      </c>
      <c r="C289" s="268" t="s">
        <v>334</v>
      </c>
      <c r="D289" s="268" t="s">
        <v>152</v>
      </c>
      <c r="E289" s="268" t="s">
        <v>217</v>
      </c>
      <c r="F289" s="268" t="s">
        <v>312</v>
      </c>
      <c r="G289">
        <v>82</v>
      </c>
      <c r="H289">
        <v>31909</v>
      </c>
    </row>
    <row r="290" spans="2:8" x14ac:dyDescent="0.3">
      <c r="B290" s="268" t="s">
        <v>333</v>
      </c>
      <c r="C290" s="268" t="s">
        <v>334</v>
      </c>
      <c r="D290" s="268" t="s">
        <v>152</v>
      </c>
      <c r="E290" s="268" t="s">
        <v>217</v>
      </c>
      <c r="F290" s="268" t="s">
        <v>313</v>
      </c>
      <c r="G290">
        <v>83</v>
      </c>
      <c r="H290">
        <v>28819</v>
      </c>
    </row>
    <row r="291" spans="2:8" x14ac:dyDescent="0.3">
      <c r="B291" s="268" t="s">
        <v>333</v>
      </c>
      <c r="C291" s="268" t="s">
        <v>334</v>
      </c>
      <c r="D291" s="268" t="s">
        <v>152</v>
      </c>
      <c r="E291" s="268" t="s">
        <v>217</v>
      </c>
      <c r="F291" s="268" t="s">
        <v>314</v>
      </c>
      <c r="G291">
        <v>84</v>
      </c>
      <c r="H291">
        <v>26194</v>
      </c>
    </row>
    <row r="292" spans="2:8" x14ac:dyDescent="0.3">
      <c r="B292" s="268" t="s">
        <v>333</v>
      </c>
      <c r="C292" s="268" t="s">
        <v>334</v>
      </c>
      <c r="D292" s="268" t="s">
        <v>152</v>
      </c>
      <c r="E292" s="268" t="s">
        <v>217</v>
      </c>
      <c r="F292" s="268" t="s">
        <v>315</v>
      </c>
      <c r="G292">
        <v>85</v>
      </c>
      <c r="H292">
        <v>23615</v>
      </c>
    </row>
    <row r="293" spans="2:8" x14ac:dyDescent="0.3">
      <c r="B293" s="268" t="s">
        <v>333</v>
      </c>
      <c r="C293" s="268" t="s">
        <v>334</v>
      </c>
      <c r="D293" s="268" t="s">
        <v>152</v>
      </c>
      <c r="E293" s="268" t="s">
        <v>217</v>
      </c>
      <c r="F293" s="268" t="s">
        <v>316</v>
      </c>
      <c r="G293">
        <v>86</v>
      </c>
      <c r="H293">
        <v>20434</v>
      </c>
    </row>
    <row r="294" spans="2:8" x14ac:dyDescent="0.3">
      <c r="B294" s="268" t="s">
        <v>333</v>
      </c>
      <c r="C294" s="268" t="s">
        <v>334</v>
      </c>
      <c r="D294" s="268" t="s">
        <v>152</v>
      </c>
      <c r="E294" s="268" t="s">
        <v>217</v>
      </c>
      <c r="F294" s="268" t="s">
        <v>317</v>
      </c>
      <c r="G294">
        <v>87</v>
      </c>
      <c r="H294">
        <v>18914</v>
      </c>
    </row>
    <row r="295" spans="2:8" x14ac:dyDescent="0.3">
      <c r="B295" s="268" t="s">
        <v>333</v>
      </c>
      <c r="C295" s="268" t="s">
        <v>334</v>
      </c>
      <c r="D295" s="268" t="s">
        <v>152</v>
      </c>
      <c r="E295" s="268" t="s">
        <v>217</v>
      </c>
      <c r="F295" s="268" t="s">
        <v>318</v>
      </c>
      <c r="G295">
        <v>88</v>
      </c>
      <c r="H295">
        <v>16134</v>
      </c>
    </row>
    <row r="296" spans="2:8" x14ac:dyDescent="0.3">
      <c r="B296" s="268" t="s">
        <v>333</v>
      </c>
      <c r="C296" s="268" t="s">
        <v>334</v>
      </c>
      <c r="D296" s="268" t="s">
        <v>152</v>
      </c>
      <c r="E296" s="268" t="s">
        <v>217</v>
      </c>
      <c r="F296" s="268" t="s">
        <v>319</v>
      </c>
      <c r="G296">
        <v>89</v>
      </c>
      <c r="H296">
        <v>14260</v>
      </c>
    </row>
    <row r="297" spans="2:8" x14ac:dyDescent="0.3">
      <c r="B297" s="268" t="s">
        <v>333</v>
      </c>
      <c r="C297" s="268" t="s">
        <v>334</v>
      </c>
      <c r="D297" s="268" t="s">
        <v>152</v>
      </c>
      <c r="E297" s="268" t="s">
        <v>217</v>
      </c>
      <c r="F297" s="268" t="s">
        <v>320</v>
      </c>
      <c r="G297">
        <v>90</v>
      </c>
      <c r="H297">
        <v>12844</v>
      </c>
    </row>
    <row r="298" spans="2:8" x14ac:dyDescent="0.3">
      <c r="B298" s="268" t="s">
        <v>333</v>
      </c>
      <c r="C298" s="268" t="s">
        <v>334</v>
      </c>
      <c r="D298" s="268" t="s">
        <v>152</v>
      </c>
      <c r="E298" s="268" t="s">
        <v>217</v>
      </c>
      <c r="F298" s="268" t="s">
        <v>321</v>
      </c>
      <c r="G298">
        <v>91</v>
      </c>
      <c r="H298">
        <v>10306</v>
      </c>
    </row>
    <row r="299" spans="2:8" x14ac:dyDescent="0.3">
      <c r="B299" s="268" t="s">
        <v>333</v>
      </c>
      <c r="C299" s="268" t="s">
        <v>334</v>
      </c>
      <c r="D299" s="268" t="s">
        <v>152</v>
      </c>
      <c r="E299" s="268" t="s">
        <v>217</v>
      </c>
      <c r="F299" s="268" t="s">
        <v>322</v>
      </c>
      <c r="G299">
        <v>92</v>
      </c>
      <c r="H299">
        <v>8609</v>
      </c>
    </row>
    <row r="300" spans="2:8" x14ac:dyDescent="0.3">
      <c r="B300" s="268" t="s">
        <v>333</v>
      </c>
      <c r="C300" s="268" t="s">
        <v>334</v>
      </c>
      <c r="D300" s="268" t="s">
        <v>152</v>
      </c>
      <c r="E300" s="268" t="s">
        <v>217</v>
      </c>
      <c r="F300" s="268" t="s">
        <v>323</v>
      </c>
      <c r="G300">
        <v>93</v>
      </c>
      <c r="H300">
        <v>6991</v>
      </c>
    </row>
    <row r="301" spans="2:8" x14ac:dyDescent="0.3">
      <c r="B301" s="268" t="s">
        <v>333</v>
      </c>
      <c r="C301" s="268" t="s">
        <v>334</v>
      </c>
      <c r="D301" s="268" t="s">
        <v>152</v>
      </c>
      <c r="E301" s="268" t="s">
        <v>217</v>
      </c>
      <c r="F301" s="268" t="s">
        <v>324</v>
      </c>
      <c r="G301">
        <v>94</v>
      </c>
      <c r="H301">
        <v>5579</v>
      </c>
    </row>
    <row r="302" spans="2:8" x14ac:dyDescent="0.3">
      <c r="B302" s="268" t="s">
        <v>333</v>
      </c>
      <c r="C302" s="268" t="s">
        <v>334</v>
      </c>
      <c r="D302" s="268" t="s">
        <v>152</v>
      </c>
      <c r="E302" s="268" t="s">
        <v>217</v>
      </c>
      <c r="F302" s="268" t="s">
        <v>325</v>
      </c>
      <c r="G302">
        <v>95</v>
      </c>
      <c r="H302">
        <v>4455</v>
      </c>
    </row>
    <row r="303" spans="2:8" x14ac:dyDescent="0.3">
      <c r="B303" s="268" t="s">
        <v>333</v>
      </c>
      <c r="C303" s="268" t="s">
        <v>334</v>
      </c>
      <c r="D303" s="268" t="s">
        <v>152</v>
      </c>
      <c r="E303" s="268" t="s">
        <v>217</v>
      </c>
      <c r="F303" s="268" t="s">
        <v>326</v>
      </c>
      <c r="G303">
        <v>96</v>
      </c>
      <c r="H303">
        <v>3347</v>
      </c>
    </row>
    <row r="304" spans="2:8" x14ac:dyDescent="0.3">
      <c r="B304" s="268" t="s">
        <v>333</v>
      </c>
      <c r="C304" s="268" t="s">
        <v>334</v>
      </c>
      <c r="D304" s="268" t="s">
        <v>152</v>
      </c>
      <c r="E304" s="268" t="s">
        <v>217</v>
      </c>
      <c r="F304" s="268" t="s">
        <v>327</v>
      </c>
      <c r="G304">
        <v>97</v>
      </c>
      <c r="H304">
        <v>2481</v>
      </c>
    </row>
    <row r="305" spans="1:8" x14ac:dyDescent="0.3">
      <c r="B305" s="268" t="s">
        <v>333</v>
      </c>
      <c r="C305" s="268" t="s">
        <v>334</v>
      </c>
      <c r="D305" s="268" t="s">
        <v>152</v>
      </c>
      <c r="E305" s="268" t="s">
        <v>217</v>
      </c>
      <c r="F305" s="268" t="s">
        <v>328</v>
      </c>
      <c r="G305">
        <v>98</v>
      </c>
      <c r="H305">
        <v>1711</v>
      </c>
    </row>
    <row r="306" spans="1:8" x14ac:dyDescent="0.3">
      <c r="B306" s="268" t="s">
        <v>333</v>
      </c>
      <c r="C306" s="268" t="s">
        <v>334</v>
      </c>
      <c r="D306" s="268" t="s">
        <v>152</v>
      </c>
      <c r="E306" s="268" t="s">
        <v>217</v>
      </c>
      <c r="F306" s="268" t="s">
        <v>329</v>
      </c>
      <c r="G306">
        <v>99</v>
      </c>
      <c r="H306">
        <v>1229</v>
      </c>
    </row>
    <row r="307" spans="1:8" x14ac:dyDescent="0.3">
      <c r="B307" s="268" t="s">
        <v>333</v>
      </c>
      <c r="C307" s="268" t="s">
        <v>334</v>
      </c>
      <c r="D307" s="268" t="s">
        <v>152</v>
      </c>
      <c r="E307" s="268" t="s">
        <v>217</v>
      </c>
      <c r="F307" s="268" t="s">
        <v>330</v>
      </c>
      <c r="G307" t="s">
        <v>331</v>
      </c>
      <c r="H307">
        <v>1851</v>
      </c>
    </row>
    <row r="308" spans="1:8" x14ac:dyDescent="0.3">
      <c r="A308" s="268" t="s">
        <v>70</v>
      </c>
      <c r="B308" s="268" t="s">
        <v>333</v>
      </c>
      <c r="C308" s="268" t="s">
        <v>334</v>
      </c>
      <c r="D308" s="268" t="s">
        <v>152</v>
      </c>
      <c r="E308" s="268" t="s">
        <v>217</v>
      </c>
      <c r="H308">
        <v>10409179</v>
      </c>
    </row>
    <row r="309" spans="1:8" x14ac:dyDescent="0.3">
      <c r="B309" s="268" t="s">
        <v>333</v>
      </c>
      <c r="C309" s="268" t="s">
        <v>334</v>
      </c>
      <c r="D309" s="268" t="s">
        <v>151</v>
      </c>
      <c r="E309" s="268" t="s">
        <v>332</v>
      </c>
      <c r="F309" s="268" t="s">
        <v>218</v>
      </c>
      <c r="G309">
        <v>0</v>
      </c>
      <c r="H309">
        <v>118187</v>
      </c>
    </row>
    <row r="310" spans="1:8" x14ac:dyDescent="0.3">
      <c r="B310" s="268" t="s">
        <v>333</v>
      </c>
      <c r="C310" s="268" t="s">
        <v>334</v>
      </c>
      <c r="D310" s="268" t="s">
        <v>151</v>
      </c>
      <c r="E310" s="268" t="s">
        <v>332</v>
      </c>
      <c r="F310" s="268" t="s">
        <v>220</v>
      </c>
      <c r="G310">
        <v>1</v>
      </c>
      <c r="H310">
        <v>118597</v>
      </c>
    </row>
    <row r="311" spans="1:8" x14ac:dyDescent="0.3">
      <c r="B311" s="268" t="s">
        <v>333</v>
      </c>
      <c r="C311" s="268" t="s">
        <v>334</v>
      </c>
      <c r="D311" s="268" t="s">
        <v>151</v>
      </c>
      <c r="E311" s="268" t="s">
        <v>332</v>
      </c>
      <c r="F311" s="268" t="s">
        <v>221</v>
      </c>
      <c r="G311">
        <v>2</v>
      </c>
      <c r="H311">
        <v>118838</v>
      </c>
    </row>
    <row r="312" spans="1:8" x14ac:dyDescent="0.3">
      <c r="B312" s="268" t="s">
        <v>333</v>
      </c>
      <c r="C312" s="268" t="s">
        <v>334</v>
      </c>
      <c r="D312" s="268" t="s">
        <v>151</v>
      </c>
      <c r="E312" s="268" t="s">
        <v>332</v>
      </c>
      <c r="F312" s="268" t="s">
        <v>223</v>
      </c>
      <c r="G312">
        <v>3</v>
      </c>
      <c r="H312">
        <v>118735</v>
      </c>
    </row>
    <row r="313" spans="1:8" x14ac:dyDescent="0.3">
      <c r="B313" s="268" t="s">
        <v>333</v>
      </c>
      <c r="C313" s="268" t="s">
        <v>334</v>
      </c>
      <c r="D313" s="268" t="s">
        <v>151</v>
      </c>
      <c r="E313" s="268" t="s">
        <v>332</v>
      </c>
      <c r="F313" s="268" t="s">
        <v>225</v>
      </c>
      <c r="G313">
        <v>4</v>
      </c>
      <c r="H313">
        <v>118221</v>
      </c>
    </row>
    <row r="314" spans="1:8" x14ac:dyDescent="0.3">
      <c r="B314" s="268" t="s">
        <v>333</v>
      </c>
      <c r="C314" s="268" t="s">
        <v>334</v>
      </c>
      <c r="D314" s="268" t="s">
        <v>151</v>
      </c>
      <c r="E314" s="268" t="s">
        <v>332</v>
      </c>
      <c r="F314" s="268" t="s">
        <v>226</v>
      </c>
      <c r="G314">
        <v>5</v>
      </c>
      <c r="H314">
        <v>117466</v>
      </c>
    </row>
    <row r="315" spans="1:8" x14ac:dyDescent="0.3">
      <c r="B315" s="268" t="s">
        <v>333</v>
      </c>
      <c r="C315" s="268" t="s">
        <v>334</v>
      </c>
      <c r="D315" s="268" t="s">
        <v>151</v>
      </c>
      <c r="E315" s="268" t="s">
        <v>332</v>
      </c>
      <c r="F315" s="268" t="s">
        <v>227</v>
      </c>
      <c r="G315">
        <v>6</v>
      </c>
      <c r="H315">
        <v>116572</v>
      </c>
    </row>
    <row r="316" spans="1:8" x14ac:dyDescent="0.3">
      <c r="B316" s="268" t="s">
        <v>333</v>
      </c>
      <c r="C316" s="268" t="s">
        <v>334</v>
      </c>
      <c r="D316" s="268" t="s">
        <v>151</v>
      </c>
      <c r="E316" s="268" t="s">
        <v>332</v>
      </c>
      <c r="F316" s="268" t="s">
        <v>229</v>
      </c>
      <c r="G316">
        <v>7</v>
      </c>
      <c r="H316">
        <v>111572</v>
      </c>
    </row>
    <row r="317" spans="1:8" x14ac:dyDescent="0.3">
      <c r="B317" s="268" t="s">
        <v>333</v>
      </c>
      <c r="C317" s="268" t="s">
        <v>334</v>
      </c>
      <c r="D317" s="268" t="s">
        <v>151</v>
      </c>
      <c r="E317" s="268" t="s">
        <v>332</v>
      </c>
      <c r="F317" s="268" t="s">
        <v>230</v>
      </c>
      <c r="G317">
        <v>8</v>
      </c>
      <c r="H317">
        <v>113355</v>
      </c>
    </row>
    <row r="318" spans="1:8" x14ac:dyDescent="0.3">
      <c r="B318" s="268" t="s">
        <v>333</v>
      </c>
      <c r="C318" s="268" t="s">
        <v>334</v>
      </c>
      <c r="D318" s="268" t="s">
        <v>151</v>
      </c>
      <c r="E318" s="268" t="s">
        <v>332</v>
      </c>
      <c r="F318" s="268" t="s">
        <v>231</v>
      </c>
      <c r="G318">
        <v>9</v>
      </c>
      <c r="H318">
        <v>113332</v>
      </c>
    </row>
    <row r="319" spans="1:8" x14ac:dyDescent="0.3">
      <c r="B319" s="268" t="s">
        <v>333</v>
      </c>
      <c r="C319" s="268" t="s">
        <v>334</v>
      </c>
      <c r="D319" s="268" t="s">
        <v>151</v>
      </c>
      <c r="E319" s="268" t="s">
        <v>332</v>
      </c>
      <c r="F319" s="268" t="s">
        <v>233</v>
      </c>
      <c r="G319">
        <v>10</v>
      </c>
      <c r="H319">
        <v>113013</v>
      </c>
    </row>
    <row r="320" spans="1:8" x14ac:dyDescent="0.3">
      <c r="B320" s="268" t="s">
        <v>333</v>
      </c>
      <c r="C320" s="268" t="s">
        <v>334</v>
      </c>
      <c r="D320" s="268" t="s">
        <v>151</v>
      </c>
      <c r="E320" s="268" t="s">
        <v>332</v>
      </c>
      <c r="F320" s="268" t="s">
        <v>234</v>
      </c>
      <c r="G320">
        <v>11</v>
      </c>
      <c r="H320">
        <v>110815</v>
      </c>
    </row>
    <row r="321" spans="2:8" x14ac:dyDescent="0.3">
      <c r="B321" s="268" t="s">
        <v>333</v>
      </c>
      <c r="C321" s="268" t="s">
        <v>334</v>
      </c>
      <c r="D321" s="268" t="s">
        <v>151</v>
      </c>
      <c r="E321" s="268" t="s">
        <v>332</v>
      </c>
      <c r="F321" s="268" t="s">
        <v>235</v>
      </c>
      <c r="G321">
        <v>12</v>
      </c>
      <c r="H321">
        <v>115085</v>
      </c>
    </row>
    <row r="322" spans="2:8" x14ac:dyDescent="0.3">
      <c r="B322" s="268" t="s">
        <v>333</v>
      </c>
      <c r="C322" s="268" t="s">
        <v>334</v>
      </c>
      <c r="D322" s="268" t="s">
        <v>151</v>
      </c>
      <c r="E322" s="268" t="s">
        <v>332</v>
      </c>
      <c r="F322" s="268" t="s">
        <v>237</v>
      </c>
      <c r="G322">
        <v>13</v>
      </c>
      <c r="H322">
        <v>114120</v>
      </c>
    </row>
    <row r="323" spans="2:8" x14ac:dyDescent="0.3">
      <c r="B323" s="268" t="s">
        <v>333</v>
      </c>
      <c r="C323" s="268" t="s">
        <v>334</v>
      </c>
      <c r="D323" s="268" t="s">
        <v>151</v>
      </c>
      <c r="E323" s="268" t="s">
        <v>332</v>
      </c>
      <c r="F323" s="268" t="s">
        <v>239</v>
      </c>
      <c r="G323">
        <v>14</v>
      </c>
      <c r="H323">
        <v>113267</v>
      </c>
    </row>
    <row r="324" spans="2:8" x14ac:dyDescent="0.3">
      <c r="B324" s="268" t="s">
        <v>333</v>
      </c>
      <c r="C324" s="268" t="s">
        <v>334</v>
      </c>
      <c r="D324" s="268" t="s">
        <v>151</v>
      </c>
      <c r="E324" s="268" t="s">
        <v>332</v>
      </c>
      <c r="F324" s="268" t="s">
        <v>241</v>
      </c>
      <c r="G324">
        <v>15</v>
      </c>
      <c r="H324">
        <v>114813</v>
      </c>
    </row>
    <row r="325" spans="2:8" x14ac:dyDescent="0.3">
      <c r="B325" s="268" t="s">
        <v>333</v>
      </c>
      <c r="C325" s="268" t="s">
        <v>334</v>
      </c>
      <c r="D325" s="268" t="s">
        <v>151</v>
      </c>
      <c r="E325" s="268" t="s">
        <v>332</v>
      </c>
      <c r="F325" s="268" t="s">
        <v>243</v>
      </c>
      <c r="G325">
        <v>16</v>
      </c>
      <c r="H325">
        <v>115643</v>
      </c>
    </row>
    <row r="326" spans="2:8" x14ac:dyDescent="0.3">
      <c r="B326" s="268" t="s">
        <v>333</v>
      </c>
      <c r="C326" s="268" t="s">
        <v>334</v>
      </c>
      <c r="D326" s="268" t="s">
        <v>151</v>
      </c>
      <c r="E326" s="268" t="s">
        <v>332</v>
      </c>
      <c r="F326" s="268" t="s">
        <v>245</v>
      </c>
      <c r="G326">
        <v>17</v>
      </c>
      <c r="H326">
        <v>116394</v>
      </c>
    </row>
    <row r="327" spans="2:8" x14ac:dyDescent="0.3">
      <c r="B327" s="268" t="s">
        <v>333</v>
      </c>
      <c r="C327" s="268" t="s">
        <v>334</v>
      </c>
      <c r="D327" s="268" t="s">
        <v>151</v>
      </c>
      <c r="E327" s="268" t="s">
        <v>332</v>
      </c>
      <c r="F327" s="268" t="s">
        <v>247</v>
      </c>
      <c r="G327">
        <v>18</v>
      </c>
      <c r="H327">
        <v>114331</v>
      </c>
    </row>
    <row r="328" spans="2:8" x14ac:dyDescent="0.3">
      <c r="B328" s="268" t="s">
        <v>333</v>
      </c>
      <c r="C328" s="268" t="s">
        <v>334</v>
      </c>
      <c r="D328" s="268" t="s">
        <v>151</v>
      </c>
      <c r="E328" s="268" t="s">
        <v>332</v>
      </c>
      <c r="F328" s="268" t="s">
        <v>249</v>
      </c>
      <c r="G328">
        <v>19</v>
      </c>
      <c r="H328">
        <v>121640</v>
      </c>
    </row>
    <row r="329" spans="2:8" x14ac:dyDescent="0.3">
      <c r="B329" s="268" t="s">
        <v>333</v>
      </c>
      <c r="C329" s="268" t="s">
        <v>334</v>
      </c>
      <c r="D329" s="268" t="s">
        <v>151</v>
      </c>
      <c r="E329" s="268" t="s">
        <v>332</v>
      </c>
      <c r="F329" s="268" t="s">
        <v>250</v>
      </c>
      <c r="G329">
        <v>20</v>
      </c>
      <c r="H329">
        <v>123991</v>
      </c>
    </row>
    <row r="330" spans="2:8" x14ac:dyDescent="0.3">
      <c r="B330" s="268" t="s">
        <v>333</v>
      </c>
      <c r="C330" s="268" t="s">
        <v>334</v>
      </c>
      <c r="D330" s="268" t="s">
        <v>151</v>
      </c>
      <c r="E330" s="268" t="s">
        <v>332</v>
      </c>
      <c r="F330" s="268" t="s">
        <v>251</v>
      </c>
      <c r="G330">
        <v>21</v>
      </c>
      <c r="H330">
        <v>124709</v>
      </c>
    </row>
    <row r="331" spans="2:8" x14ac:dyDescent="0.3">
      <c r="B331" s="268" t="s">
        <v>333</v>
      </c>
      <c r="C331" s="268" t="s">
        <v>334</v>
      </c>
      <c r="D331" s="268" t="s">
        <v>151</v>
      </c>
      <c r="E331" s="268" t="s">
        <v>332</v>
      </c>
      <c r="F331" s="268" t="s">
        <v>252</v>
      </c>
      <c r="G331">
        <v>22</v>
      </c>
      <c r="H331">
        <v>131200</v>
      </c>
    </row>
    <row r="332" spans="2:8" x14ac:dyDescent="0.3">
      <c r="B332" s="268" t="s">
        <v>333</v>
      </c>
      <c r="C332" s="268" t="s">
        <v>334</v>
      </c>
      <c r="D332" s="268" t="s">
        <v>151</v>
      </c>
      <c r="E332" s="268" t="s">
        <v>332</v>
      </c>
      <c r="F332" s="268" t="s">
        <v>253</v>
      </c>
      <c r="G332">
        <v>23</v>
      </c>
      <c r="H332">
        <v>137374</v>
      </c>
    </row>
    <row r="333" spans="2:8" x14ac:dyDescent="0.3">
      <c r="B333" s="268" t="s">
        <v>333</v>
      </c>
      <c r="C333" s="268" t="s">
        <v>334</v>
      </c>
      <c r="D333" s="268" t="s">
        <v>151</v>
      </c>
      <c r="E333" s="268" t="s">
        <v>332</v>
      </c>
      <c r="F333" s="268" t="s">
        <v>254</v>
      </c>
      <c r="G333">
        <v>24</v>
      </c>
      <c r="H333">
        <v>143398</v>
      </c>
    </row>
    <row r="334" spans="2:8" x14ac:dyDescent="0.3">
      <c r="B334" s="268" t="s">
        <v>333</v>
      </c>
      <c r="C334" s="268" t="s">
        <v>334</v>
      </c>
      <c r="D334" s="268" t="s">
        <v>151</v>
      </c>
      <c r="E334" s="268" t="s">
        <v>332</v>
      </c>
      <c r="F334" s="268" t="s">
        <v>255</v>
      </c>
      <c r="G334">
        <v>25</v>
      </c>
      <c r="H334">
        <v>147289</v>
      </c>
    </row>
    <row r="335" spans="2:8" x14ac:dyDescent="0.3">
      <c r="B335" s="268" t="s">
        <v>333</v>
      </c>
      <c r="C335" s="268" t="s">
        <v>334</v>
      </c>
      <c r="D335" s="268" t="s">
        <v>151</v>
      </c>
      <c r="E335" s="268" t="s">
        <v>332</v>
      </c>
      <c r="F335" s="268" t="s">
        <v>256</v>
      </c>
      <c r="G335">
        <v>26</v>
      </c>
      <c r="H335">
        <v>151924</v>
      </c>
    </row>
    <row r="336" spans="2:8" x14ac:dyDescent="0.3">
      <c r="B336" s="268" t="s">
        <v>333</v>
      </c>
      <c r="C336" s="268" t="s">
        <v>334</v>
      </c>
      <c r="D336" s="268" t="s">
        <v>151</v>
      </c>
      <c r="E336" s="268" t="s">
        <v>332</v>
      </c>
      <c r="F336" s="268" t="s">
        <v>257</v>
      </c>
      <c r="G336">
        <v>27</v>
      </c>
      <c r="H336">
        <v>154952</v>
      </c>
    </row>
    <row r="337" spans="2:8" x14ac:dyDescent="0.3">
      <c r="B337" s="268" t="s">
        <v>333</v>
      </c>
      <c r="C337" s="268" t="s">
        <v>334</v>
      </c>
      <c r="D337" s="268" t="s">
        <v>151</v>
      </c>
      <c r="E337" s="268" t="s">
        <v>332</v>
      </c>
      <c r="F337" s="268" t="s">
        <v>258</v>
      </c>
      <c r="G337">
        <v>28</v>
      </c>
      <c r="H337">
        <v>161098</v>
      </c>
    </row>
    <row r="338" spans="2:8" x14ac:dyDescent="0.3">
      <c r="B338" s="268" t="s">
        <v>333</v>
      </c>
      <c r="C338" s="268" t="s">
        <v>334</v>
      </c>
      <c r="D338" s="268" t="s">
        <v>151</v>
      </c>
      <c r="E338" s="268" t="s">
        <v>332</v>
      </c>
      <c r="F338" s="268" t="s">
        <v>259</v>
      </c>
      <c r="G338">
        <v>29</v>
      </c>
      <c r="H338">
        <v>169579</v>
      </c>
    </row>
    <row r="339" spans="2:8" x14ac:dyDescent="0.3">
      <c r="B339" s="268" t="s">
        <v>333</v>
      </c>
      <c r="C339" s="268" t="s">
        <v>334</v>
      </c>
      <c r="D339" s="268" t="s">
        <v>151</v>
      </c>
      <c r="E339" s="268" t="s">
        <v>332</v>
      </c>
      <c r="F339" s="268" t="s">
        <v>260</v>
      </c>
      <c r="G339">
        <v>30</v>
      </c>
      <c r="H339">
        <v>172245</v>
      </c>
    </row>
    <row r="340" spans="2:8" x14ac:dyDescent="0.3">
      <c r="B340" s="268" t="s">
        <v>333</v>
      </c>
      <c r="C340" s="268" t="s">
        <v>334</v>
      </c>
      <c r="D340" s="268" t="s">
        <v>151</v>
      </c>
      <c r="E340" s="268" t="s">
        <v>332</v>
      </c>
      <c r="F340" s="268" t="s">
        <v>261</v>
      </c>
      <c r="G340">
        <v>31</v>
      </c>
      <c r="H340">
        <v>171438</v>
      </c>
    </row>
    <row r="341" spans="2:8" x14ac:dyDescent="0.3">
      <c r="B341" s="268" t="s">
        <v>333</v>
      </c>
      <c r="C341" s="268" t="s">
        <v>334</v>
      </c>
      <c r="D341" s="268" t="s">
        <v>151</v>
      </c>
      <c r="E341" s="268" t="s">
        <v>332</v>
      </c>
      <c r="F341" s="268" t="s">
        <v>262</v>
      </c>
      <c r="G341">
        <v>32</v>
      </c>
      <c r="H341">
        <v>166977</v>
      </c>
    </row>
    <row r="342" spans="2:8" x14ac:dyDescent="0.3">
      <c r="B342" s="268" t="s">
        <v>333</v>
      </c>
      <c r="C342" s="268" t="s">
        <v>334</v>
      </c>
      <c r="D342" s="268" t="s">
        <v>151</v>
      </c>
      <c r="E342" s="268" t="s">
        <v>332</v>
      </c>
      <c r="F342" s="268" t="s">
        <v>263</v>
      </c>
      <c r="G342">
        <v>33</v>
      </c>
      <c r="H342">
        <v>162401</v>
      </c>
    </row>
    <row r="343" spans="2:8" x14ac:dyDescent="0.3">
      <c r="B343" s="268" t="s">
        <v>333</v>
      </c>
      <c r="C343" s="268" t="s">
        <v>334</v>
      </c>
      <c r="D343" s="268" t="s">
        <v>151</v>
      </c>
      <c r="E343" s="268" t="s">
        <v>332</v>
      </c>
      <c r="F343" s="268" t="s">
        <v>264</v>
      </c>
      <c r="G343">
        <v>34</v>
      </c>
      <c r="H343">
        <v>161502</v>
      </c>
    </row>
    <row r="344" spans="2:8" x14ac:dyDescent="0.3">
      <c r="B344" s="268" t="s">
        <v>333</v>
      </c>
      <c r="C344" s="268" t="s">
        <v>334</v>
      </c>
      <c r="D344" s="268" t="s">
        <v>151</v>
      </c>
      <c r="E344" s="268" t="s">
        <v>332</v>
      </c>
      <c r="F344" s="268" t="s">
        <v>265</v>
      </c>
      <c r="G344">
        <v>35</v>
      </c>
      <c r="H344">
        <v>161078</v>
      </c>
    </row>
    <row r="345" spans="2:8" x14ac:dyDescent="0.3">
      <c r="B345" s="268" t="s">
        <v>333</v>
      </c>
      <c r="C345" s="268" t="s">
        <v>334</v>
      </c>
      <c r="D345" s="268" t="s">
        <v>151</v>
      </c>
      <c r="E345" s="268" t="s">
        <v>332</v>
      </c>
      <c r="F345" s="268" t="s">
        <v>266</v>
      </c>
      <c r="G345">
        <v>36</v>
      </c>
      <c r="H345">
        <v>158412</v>
      </c>
    </row>
    <row r="346" spans="2:8" x14ac:dyDescent="0.3">
      <c r="B346" s="268" t="s">
        <v>333</v>
      </c>
      <c r="C346" s="268" t="s">
        <v>334</v>
      </c>
      <c r="D346" s="268" t="s">
        <v>151</v>
      </c>
      <c r="E346" s="268" t="s">
        <v>332</v>
      </c>
      <c r="F346" s="268" t="s">
        <v>267</v>
      </c>
      <c r="G346">
        <v>37</v>
      </c>
      <c r="H346">
        <v>156332</v>
      </c>
    </row>
    <row r="347" spans="2:8" x14ac:dyDescent="0.3">
      <c r="B347" s="268" t="s">
        <v>333</v>
      </c>
      <c r="C347" s="268" t="s">
        <v>334</v>
      </c>
      <c r="D347" s="268" t="s">
        <v>151</v>
      </c>
      <c r="E347" s="268" t="s">
        <v>332</v>
      </c>
      <c r="F347" s="268" t="s">
        <v>268</v>
      </c>
      <c r="G347">
        <v>38</v>
      </c>
      <c r="H347">
        <v>154563</v>
      </c>
    </row>
    <row r="348" spans="2:8" x14ac:dyDescent="0.3">
      <c r="B348" s="268" t="s">
        <v>333</v>
      </c>
      <c r="C348" s="268" t="s">
        <v>334</v>
      </c>
      <c r="D348" s="268" t="s">
        <v>151</v>
      </c>
      <c r="E348" s="268" t="s">
        <v>332</v>
      </c>
      <c r="F348" s="268" t="s">
        <v>269</v>
      </c>
      <c r="G348">
        <v>39</v>
      </c>
      <c r="H348">
        <v>147418</v>
      </c>
    </row>
    <row r="349" spans="2:8" x14ac:dyDescent="0.3">
      <c r="B349" s="268" t="s">
        <v>333</v>
      </c>
      <c r="C349" s="268" t="s">
        <v>334</v>
      </c>
      <c r="D349" s="268" t="s">
        <v>151</v>
      </c>
      <c r="E349" s="268" t="s">
        <v>332</v>
      </c>
      <c r="F349" s="268" t="s">
        <v>270</v>
      </c>
      <c r="G349">
        <v>40</v>
      </c>
      <c r="H349">
        <v>149214</v>
      </c>
    </row>
    <row r="350" spans="2:8" x14ac:dyDescent="0.3">
      <c r="B350" s="268" t="s">
        <v>333</v>
      </c>
      <c r="C350" s="268" t="s">
        <v>334</v>
      </c>
      <c r="D350" s="268" t="s">
        <v>151</v>
      </c>
      <c r="E350" s="268" t="s">
        <v>332</v>
      </c>
      <c r="F350" s="268" t="s">
        <v>271</v>
      </c>
      <c r="G350">
        <v>41</v>
      </c>
      <c r="H350">
        <v>141380</v>
      </c>
    </row>
    <row r="351" spans="2:8" x14ac:dyDescent="0.3">
      <c r="B351" s="268" t="s">
        <v>333</v>
      </c>
      <c r="C351" s="268" t="s">
        <v>334</v>
      </c>
      <c r="D351" s="268" t="s">
        <v>151</v>
      </c>
      <c r="E351" s="268" t="s">
        <v>332</v>
      </c>
      <c r="F351" s="268" t="s">
        <v>272</v>
      </c>
      <c r="G351">
        <v>42</v>
      </c>
      <c r="H351">
        <v>136999</v>
      </c>
    </row>
    <row r="352" spans="2:8" x14ac:dyDescent="0.3">
      <c r="B352" s="268" t="s">
        <v>333</v>
      </c>
      <c r="C352" s="268" t="s">
        <v>334</v>
      </c>
      <c r="D352" s="268" t="s">
        <v>151</v>
      </c>
      <c r="E352" s="268" t="s">
        <v>332</v>
      </c>
      <c r="F352" s="268" t="s">
        <v>273</v>
      </c>
      <c r="G352">
        <v>43</v>
      </c>
      <c r="H352">
        <v>136315</v>
      </c>
    </row>
    <row r="353" spans="2:8" x14ac:dyDescent="0.3">
      <c r="B353" s="268" t="s">
        <v>333</v>
      </c>
      <c r="C353" s="268" t="s">
        <v>334</v>
      </c>
      <c r="D353" s="268" t="s">
        <v>151</v>
      </c>
      <c r="E353" s="268" t="s">
        <v>332</v>
      </c>
      <c r="F353" s="268" t="s">
        <v>274</v>
      </c>
      <c r="G353">
        <v>44</v>
      </c>
      <c r="H353">
        <v>137489</v>
      </c>
    </row>
    <row r="354" spans="2:8" x14ac:dyDescent="0.3">
      <c r="B354" s="268" t="s">
        <v>333</v>
      </c>
      <c r="C354" s="268" t="s">
        <v>334</v>
      </c>
      <c r="D354" s="268" t="s">
        <v>151</v>
      </c>
      <c r="E354" s="268" t="s">
        <v>332</v>
      </c>
      <c r="F354" s="268" t="s">
        <v>275</v>
      </c>
      <c r="G354">
        <v>45</v>
      </c>
      <c r="H354">
        <v>141821</v>
      </c>
    </row>
    <row r="355" spans="2:8" x14ac:dyDescent="0.3">
      <c r="B355" s="268" t="s">
        <v>333</v>
      </c>
      <c r="C355" s="268" t="s">
        <v>334</v>
      </c>
      <c r="D355" s="268" t="s">
        <v>151</v>
      </c>
      <c r="E355" s="268" t="s">
        <v>332</v>
      </c>
      <c r="F355" s="268" t="s">
        <v>276</v>
      </c>
      <c r="G355">
        <v>46</v>
      </c>
      <c r="H355">
        <v>138186</v>
      </c>
    </row>
    <row r="356" spans="2:8" x14ac:dyDescent="0.3">
      <c r="B356" s="268" t="s">
        <v>333</v>
      </c>
      <c r="C356" s="268" t="s">
        <v>334</v>
      </c>
      <c r="D356" s="268" t="s">
        <v>151</v>
      </c>
      <c r="E356" s="268" t="s">
        <v>332</v>
      </c>
      <c r="F356" s="268" t="s">
        <v>277</v>
      </c>
      <c r="G356">
        <v>47</v>
      </c>
      <c r="H356">
        <v>137379</v>
      </c>
    </row>
    <row r="357" spans="2:8" x14ac:dyDescent="0.3">
      <c r="B357" s="268" t="s">
        <v>333</v>
      </c>
      <c r="C357" s="268" t="s">
        <v>334</v>
      </c>
      <c r="D357" s="268" t="s">
        <v>151</v>
      </c>
      <c r="E357" s="268" t="s">
        <v>332</v>
      </c>
      <c r="F357" s="268" t="s">
        <v>278</v>
      </c>
      <c r="G357">
        <v>48</v>
      </c>
      <c r="H357">
        <v>136560</v>
      </c>
    </row>
    <row r="358" spans="2:8" x14ac:dyDescent="0.3">
      <c r="B358" s="268" t="s">
        <v>333</v>
      </c>
      <c r="C358" s="268" t="s">
        <v>334</v>
      </c>
      <c r="D358" s="268" t="s">
        <v>151</v>
      </c>
      <c r="E358" s="268" t="s">
        <v>332</v>
      </c>
      <c r="F358" s="268" t="s">
        <v>279</v>
      </c>
      <c r="G358">
        <v>49</v>
      </c>
      <c r="H358">
        <v>132890</v>
      </c>
    </row>
    <row r="359" spans="2:8" x14ac:dyDescent="0.3">
      <c r="B359" s="268" t="s">
        <v>333</v>
      </c>
      <c r="C359" s="268" t="s">
        <v>334</v>
      </c>
      <c r="D359" s="268" t="s">
        <v>151</v>
      </c>
      <c r="E359" s="268" t="s">
        <v>332</v>
      </c>
      <c r="F359" s="268" t="s">
        <v>280</v>
      </c>
      <c r="G359">
        <v>50</v>
      </c>
      <c r="H359">
        <v>133135</v>
      </c>
    </row>
    <row r="360" spans="2:8" x14ac:dyDescent="0.3">
      <c r="B360" s="268" t="s">
        <v>333</v>
      </c>
      <c r="C360" s="268" t="s">
        <v>334</v>
      </c>
      <c r="D360" s="268" t="s">
        <v>151</v>
      </c>
      <c r="E360" s="268" t="s">
        <v>332</v>
      </c>
      <c r="F360" s="268" t="s">
        <v>281</v>
      </c>
      <c r="G360">
        <v>51</v>
      </c>
      <c r="H360">
        <v>124980</v>
      </c>
    </row>
    <row r="361" spans="2:8" x14ac:dyDescent="0.3">
      <c r="B361" s="268" t="s">
        <v>333</v>
      </c>
      <c r="C361" s="268" t="s">
        <v>334</v>
      </c>
      <c r="D361" s="268" t="s">
        <v>151</v>
      </c>
      <c r="E361" s="268" t="s">
        <v>332</v>
      </c>
      <c r="F361" s="268" t="s">
        <v>282</v>
      </c>
      <c r="G361">
        <v>52</v>
      </c>
      <c r="H361">
        <v>118412</v>
      </c>
    </row>
    <row r="362" spans="2:8" x14ac:dyDescent="0.3">
      <c r="B362" s="268" t="s">
        <v>333</v>
      </c>
      <c r="C362" s="268" t="s">
        <v>334</v>
      </c>
      <c r="D362" s="268" t="s">
        <v>151</v>
      </c>
      <c r="E362" s="268" t="s">
        <v>332</v>
      </c>
      <c r="F362" s="268" t="s">
        <v>283</v>
      </c>
      <c r="G362">
        <v>53</v>
      </c>
      <c r="H362">
        <v>109968</v>
      </c>
    </row>
    <row r="363" spans="2:8" x14ac:dyDescent="0.3">
      <c r="B363" s="268" t="s">
        <v>333</v>
      </c>
      <c r="C363" s="268" t="s">
        <v>334</v>
      </c>
      <c r="D363" s="268" t="s">
        <v>151</v>
      </c>
      <c r="E363" s="268" t="s">
        <v>332</v>
      </c>
      <c r="F363" s="268" t="s">
        <v>284</v>
      </c>
      <c r="G363">
        <v>54</v>
      </c>
      <c r="H363">
        <v>111192</v>
      </c>
    </row>
    <row r="364" spans="2:8" x14ac:dyDescent="0.3">
      <c r="B364" s="268" t="s">
        <v>333</v>
      </c>
      <c r="C364" s="268" t="s">
        <v>334</v>
      </c>
      <c r="D364" s="268" t="s">
        <v>151</v>
      </c>
      <c r="E364" s="268" t="s">
        <v>332</v>
      </c>
      <c r="F364" s="268" t="s">
        <v>285</v>
      </c>
      <c r="G364">
        <v>55</v>
      </c>
      <c r="H364">
        <v>112624</v>
      </c>
    </row>
    <row r="365" spans="2:8" x14ac:dyDescent="0.3">
      <c r="B365" s="268" t="s">
        <v>333</v>
      </c>
      <c r="C365" s="268" t="s">
        <v>334</v>
      </c>
      <c r="D365" s="268" t="s">
        <v>151</v>
      </c>
      <c r="E365" s="268" t="s">
        <v>332</v>
      </c>
      <c r="F365" s="268" t="s">
        <v>286</v>
      </c>
      <c r="G365">
        <v>56</v>
      </c>
      <c r="H365">
        <v>112149</v>
      </c>
    </row>
    <row r="366" spans="2:8" x14ac:dyDescent="0.3">
      <c r="B366" s="268" t="s">
        <v>333</v>
      </c>
      <c r="C366" s="268" t="s">
        <v>334</v>
      </c>
      <c r="D366" s="268" t="s">
        <v>151</v>
      </c>
      <c r="E366" s="268" t="s">
        <v>332</v>
      </c>
      <c r="F366" s="268" t="s">
        <v>287</v>
      </c>
      <c r="G366">
        <v>57</v>
      </c>
      <c r="H366">
        <v>111698</v>
      </c>
    </row>
    <row r="367" spans="2:8" x14ac:dyDescent="0.3">
      <c r="B367" s="268" t="s">
        <v>333</v>
      </c>
      <c r="C367" s="268" t="s">
        <v>334</v>
      </c>
      <c r="D367" s="268" t="s">
        <v>151</v>
      </c>
      <c r="E367" s="268" t="s">
        <v>332</v>
      </c>
      <c r="F367" s="268" t="s">
        <v>288</v>
      </c>
      <c r="G367">
        <v>58</v>
      </c>
      <c r="H367">
        <v>102078</v>
      </c>
    </row>
    <row r="368" spans="2:8" x14ac:dyDescent="0.3">
      <c r="B368" s="268" t="s">
        <v>333</v>
      </c>
      <c r="C368" s="268" t="s">
        <v>334</v>
      </c>
      <c r="D368" s="268" t="s">
        <v>151</v>
      </c>
      <c r="E368" s="268" t="s">
        <v>332</v>
      </c>
      <c r="F368" s="268" t="s">
        <v>289</v>
      </c>
      <c r="G368">
        <v>59</v>
      </c>
      <c r="H368">
        <v>98603</v>
      </c>
    </row>
    <row r="369" spans="2:8" x14ac:dyDescent="0.3">
      <c r="B369" s="268" t="s">
        <v>333</v>
      </c>
      <c r="C369" s="268" t="s">
        <v>334</v>
      </c>
      <c r="D369" s="268" t="s">
        <v>151</v>
      </c>
      <c r="E369" s="268" t="s">
        <v>332</v>
      </c>
      <c r="F369" s="268" t="s">
        <v>290</v>
      </c>
      <c r="G369">
        <v>60</v>
      </c>
      <c r="H369">
        <v>102458</v>
      </c>
    </row>
    <row r="370" spans="2:8" x14ac:dyDescent="0.3">
      <c r="B370" s="268" t="s">
        <v>333</v>
      </c>
      <c r="C370" s="268" t="s">
        <v>334</v>
      </c>
      <c r="D370" s="268" t="s">
        <v>151</v>
      </c>
      <c r="E370" s="268" t="s">
        <v>332</v>
      </c>
      <c r="F370" s="268" t="s">
        <v>291</v>
      </c>
      <c r="G370">
        <v>61</v>
      </c>
      <c r="H370">
        <v>95038</v>
      </c>
    </row>
    <row r="371" spans="2:8" x14ac:dyDescent="0.3">
      <c r="B371" s="268" t="s">
        <v>333</v>
      </c>
      <c r="C371" s="268" t="s">
        <v>334</v>
      </c>
      <c r="D371" s="268" t="s">
        <v>151</v>
      </c>
      <c r="E371" s="268" t="s">
        <v>332</v>
      </c>
      <c r="F371" s="268" t="s">
        <v>292</v>
      </c>
      <c r="G371">
        <v>62</v>
      </c>
      <c r="H371">
        <v>94649</v>
      </c>
    </row>
    <row r="372" spans="2:8" x14ac:dyDescent="0.3">
      <c r="B372" s="268" t="s">
        <v>333</v>
      </c>
      <c r="C372" s="268" t="s">
        <v>334</v>
      </c>
      <c r="D372" s="268" t="s">
        <v>151</v>
      </c>
      <c r="E372" s="268" t="s">
        <v>332</v>
      </c>
      <c r="F372" s="268" t="s">
        <v>293</v>
      </c>
      <c r="G372">
        <v>63</v>
      </c>
      <c r="H372">
        <v>90882</v>
      </c>
    </row>
    <row r="373" spans="2:8" x14ac:dyDescent="0.3">
      <c r="B373" s="268" t="s">
        <v>333</v>
      </c>
      <c r="C373" s="268" t="s">
        <v>334</v>
      </c>
      <c r="D373" s="268" t="s">
        <v>151</v>
      </c>
      <c r="E373" s="268" t="s">
        <v>332</v>
      </c>
      <c r="F373" s="268" t="s">
        <v>294</v>
      </c>
      <c r="G373">
        <v>64</v>
      </c>
      <c r="H373">
        <v>89140</v>
      </c>
    </row>
    <row r="374" spans="2:8" x14ac:dyDescent="0.3">
      <c r="B374" s="268" t="s">
        <v>333</v>
      </c>
      <c r="C374" s="268" t="s">
        <v>334</v>
      </c>
      <c r="D374" s="268" t="s">
        <v>151</v>
      </c>
      <c r="E374" s="268" t="s">
        <v>332</v>
      </c>
      <c r="F374" s="268" t="s">
        <v>295</v>
      </c>
      <c r="G374">
        <v>65</v>
      </c>
      <c r="H374">
        <v>87585</v>
      </c>
    </row>
    <row r="375" spans="2:8" x14ac:dyDescent="0.3">
      <c r="B375" s="268" t="s">
        <v>333</v>
      </c>
      <c r="C375" s="268" t="s">
        <v>334</v>
      </c>
      <c r="D375" s="268" t="s">
        <v>151</v>
      </c>
      <c r="E375" s="268" t="s">
        <v>332</v>
      </c>
      <c r="F375" s="268" t="s">
        <v>296</v>
      </c>
      <c r="G375">
        <v>66</v>
      </c>
      <c r="H375">
        <v>81624</v>
      </c>
    </row>
    <row r="376" spans="2:8" x14ac:dyDescent="0.3">
      <c r="B376" s="268" t="s">
        <v>333</v>
      </c>
      <c r="C376" s="268" t="s">
        <v>334</v>
      </c>
      <c r="D376" s="268" t="s">
        <v>151</v>
      </c>
      <c r="E376" s="268" t="s">
        <v>332</v>
      </c>
      <c r="F376" s="268" t="s">
        <v>297</v>
      </c>
      <c r="G376">
        <v>67</v>
      </c>
      <c r="H376">
        <v>77841</v>
      </c>
    </row>
    <row r="377" spans="2:8" x14ac:dyDescent="0.3">
      <c r="B377" s="268" t="s">
        <v>333</v>
      </c>
      <c r="C377" s="268" t="s">
        <v>334</v>
      </c>
      <c r="D377" s="268" t="s">
        <v>151</v>
      </c>
      <c r="E377" s="268" t="s">
        <v>332</v>
      </c>
      <c r="F377" s="268" t="s">
        <v>298</v>
      </c>
      <c r="G377">
        <v>68</v>
      </c>
      <c r="H377">
        <v>73075</v>
      </c>
    </row>
    <row r="378" spans="2:8" x14ac:dyDescent="0.3">
      <c r="B378" s="268" t="s">
        <v>333</v>
      </c>
      <c r="C378" s="268" t="s">
        <v>334</v>
      </c>
      <c r="D378" s="268" t="s">
        <v>151</v>
      </c>
      <c r="E378" s="268" t="s">
        <v>332</v>
      </c>
      <c r="F378" s="268" t="s">
        <v>299</v>
      </c>
      <c r="G378">
        <v>69</v>
      </c>
      <c r="H378">
        <v>69104</v>
      </c>
    </row>
    <row r="379" spans="2:8" x14ac:dyDescent="0.3">
      <c r="B379" s="268" t="s">
        <v>333</v>
      </c>
      <c r="C379" s="268" t="s">
        <v>334</v>
      </c>
      <c r="D379" s="268" t="s">
        <v>151</v>
      </c>
      <c r="E379" s="268" t="s">
        <v>332</v>
      </c>
      <c r="F379" s="268" t="s">
        <v>300</v>
      </c>
      <c r="G379">
        <v>70</v>
      </c>
      <c r="H379">
        <v>71786</v>
      </c>
    </row>
    <row r="380" spans="2:8" x14ac:dyDescent="0.3">
      <c r="B380" s="268" t="s">
        <v>333</v>
      </c>
      <c r="C380" s="268" t="s">
        <v>334</v>
      </c>
      <c r="D380" s="268" t="s">
        <v>151</v>
      </c>
      <c r="E380" s="268" t="s">
        <v>332</v>
      </c>
      <c r="F380" s="268" t="s">
        <v>301</v>
      </c>
      <c r="G380">
        <v>71</v>
      </c>
      <c r="H380">
        <v>65618</v>
      </c>
    </row>
    <row r="381" spans="2:8" x14ac:dyDescent="0.3">
      <c r="B381" s="268" t="s">
        <v>333</v>
      </c>
      <c r="C381" s="268" t="s">
        <v>334</v>
      </c>
      <c r="D381" s="268" t="s">
        <v>151</v>
      </c>
      <c r="E381" s="268" t="s">
        <v>332</v>
      </c>
      <c r="F381" s="268" t="s">
        <v>302</v>
      </c>
      <c r="G381">
        <v>72</v>
      </c>
      <c r="H381">
        <v>61624</v>
      </c>
    </row>
    <row r="382" spans="2:8" x14ac:dyDescent="0.3">
      <c r="B382" s="268" t="s">
        <v>333</v>
      </c>
      <c r="C382" s="268" t="s">
        <v>334</v>
      </c>
      <c r="D382" s="268" t="s">
        <v>151</v>
      </c>
      <c r="E382" s="268" t="s">
        <v>332</v>
      </c>
      <c r="F382" s="268" t="s">
        <v>303</v>
      </c>
      <c r="G382">
        <v>73</v>
      </c>
      <c r="H382">
        <v>56538</v>
      </c>
    </row>
    <row r="383" spans="2:8" x14ac:dyDescent="0.3">
      <c r="B383" s="268" t="s">
        <v>333</v>
      </c>
      <c r="C383" s="268" t="s">
        <v>334</v>
      </c>
      <c r="D383" s="268" t="s">
        <v>151</v>
      </c>
      <c r="E383" s="268" t="s">
        <v>332</v>
      </c>
      <c r="F383" s="268" t="s">
        <v>304</v>
      </c>
      <c r="G383">
        <v>74</v>
      </c>
      <c r="H383">
        <v>48383</v>
      </c>
    </row>
    <row r="384" spans="2:8" x14ac:dyDescent="0.3">
      <c r="B384" s="268" t="s">
        <v>333</v>
      </c>
      <c r="C384" s="268" t="s">
        <v>334</v>
      </c>
      <c r="D384" s="268" t="s">
        <v>151</v>
      </c>
      <c r="E384" s="268" t="s">
        <v>332</v>
      </c>
      <c r="F384" s="268" t="s">
        <v>305</v>
      </c>
      <c r="G384">
        <v>75</v>
      </c>
      <c r="H384">
        <v>45743</v>
      </c>
    </row>
    <row r="385" spans="2:8" x14ac:dyDescent="0.3">
      <c r="B385" s="268" t="s">
        <v>333</v>
      </c>
      <c r="C385" s="268" t="s">
        <v>334</v>
      </c>
      <c r="D385" s="268" t="s">
        <v>151</v>
      </c>
      <c r="E385" s="268" t="s">
        <v>332</v>
      </c>
      <c r="F385" s="268" t="s">
        <v>306</v>
      </c>
      <c r="G385">
        <v>76</v>
      </c>
      <c r="H385">
        <v>41743</v>
      </c>
    </row>
    <row r="386" spans="2:8" x14ac:dyDescent="0.3">
      <c r="B386" s="268" t="s">
        <v>333</v>
      </c>
      <c r="C386" s="268" t="s">
        <v>334</v>
      </c>
      <c r="D386" s="268" t="s">
        <v>151</v>
      </c>
      <c r="E386" s="268" t="s">
        <v>332</v>
      </c>
      <c r="F386" s="268" t="s">
        <v>307</v>
      </c>
      <c r="G386">
        <v>77</v>
      </c>
      <c r="H386">
        <v>38306</v>
      </c>
    </row>
    <row r="387" spans="2:8" x14ac:dyDescent="0.3">
      <c r="B387" s="268" t="s">
        <v>333</v>
      </c>
      <c r="C387" s="268" t="s">
        <v>334</v>
      </c>
      <c r="D387" s="268" t="s">
        <v>151</v>
      </c>
      <c r="E387" s="268" t="s">
        <v>332</v>
      </c>
      <c r="F387" s="268" t="s">
        <v>308</v>
      </c>
      <c r="G387">
        <v>78</v>
      </c>
      <c r="H387">
        <v>35328</v>
      </c>
    </row>
    <row r="388" spans="2:8" x14ac:dyDescent="0.3">
      <c r="B388" s="268" t="s">
        <v>333</v>
      </c>
      <c r="C388" s="268" t="s">
        <v>334</v>
      </c>
      <c r="D388" s="268" t="s">
        <v>151</v>
      </c>
      <c r="E388" s="268" t="s">
        <v>332</v>
      </c>
      <c r="F388" s="268" t="s">
        <v>309</v>
      </c>
      <c r="G388">
        <v>79</v>
      </c>
      <c r="H388">
        <v>31920</v>
      </c>
    </row>
    <row r="389" spans="2:8" x14ac:dyDescent="0.3">
      <c r="B389" s="268" t="s">
        <v>333</v>
      </c>
      <c r="C389" s="268" t="s">
        <v>334</v>
      </c>
      <c r="D389" s="268" t="s">
        <v>151</v>
      </c>
      <c r="E389" s="268" t="s">
        <v>332</v>
      </c>
      <c r="F389" s="268" t="s">
        <v>310</v>
      </c>
      <c r="G389">
        <v>80</v>
      </c>
      <c r="H389">
        <v>30148</v>
      </c>
    </row>
    <row r="390" spans="2:8" x14ac:dyDescent="0.3">
      <c r="B390" s="268" t="s">
        <v>333</v>
      </c>
      <c r="C390" s="268" t="s">
        <v>334</v>
      </c>
      <c r="D390" s="268" t="s">
        <v>151</v>
      </c>
      <c r="E390" s="268" t="s">
        <v>332</v>
      </c>
      <c r="F390" s="268" t="s">
        <v>311</v>
      </c>
      <c r="G390">
        <v>81</v>
      </c>
      <c r="H390">
        <v>26395</v>
      </c>
    </row>
    <row r="391" spans="2:8" x14ac:dyDescent="0.3">
      <c r="B391" s="268" t="s">
        <v>333</v>
      </c>
      <c r="C391" s="268" t="s">
        <v>334</v>
      </c>
      <c r="D391" s="268" t="s">
        <v>151</v>
      </c>
      <c r="E391" s="268" t="s">
        <v>332</v>
      </c>
      <c r="F391" s="268" t="s">
        <v>312</v>
      </c>
      <c r="G391">
        <v>82</v>
      </c>
      <c r="H391">
        <v>23740</v>
      </c>
    </row>
    <row r="392" spans="2:8" x14ac:dyDescent="0.3">
      <c r="B392" s="268" t="s">
        <v>333</v>
      </c>
      <c r="C392" s="268" t="s">
        <v>334</v>
      </c>
      <c r="D392" s="268" t="s">
        <v>151</v>
      </c>
      <c r="E392" s="268" t="s">
        <v>332</v>
      </c>
      <c r="F392" s="268" t="s">
        <v>313</v>
      </c>
      <c r="G392">
        <v>83</v>
      </c>
      <c r="H392">
        <v>20789</v>
      </c>
    </row>
    <row r="393" spans="2:8" x14ac:dyDescent="0.3">
      <c r="B393" s="268" t="s">
        <v>333</v>
      </c>
      <c r="C393" s="268" t="s">
        <v>334</v>
      </c>
      <c r="D393" s="268" t="s">
        <v>151</v>
      </c>
      <c r="E393" s="268" t="s">
        <v>332</v>
      </c>
      <c r="F393" s="268" t="s">
        <v>314</v>
      </c>
      <c r="G393">
        <v>84</v>
      </c>
      <c r="H393">
        <v>18138</v>
      </c>
    </row>
    <row r="394" spans="2:8" x14ac:dyDescent="0.3">
      <c r="B394" s="268" t="s">
        <v>333</v>
      </c>
      <c r="C394" s="268" t="s">
        <v>334</v>
      </c>
      <c r="D394" s="268" t="s">
        <v>151</v>
      </c>
      <c r="E394" s="268" t="s">
        <v>332</v>
      </c>
      <c r="F394" s="268" t="s">
        <v>315</v>
      </c>
      <c r="G394">
        <v>85</v>
      </c>
      <c r="H394">
        <v>15748</v>
      </c>
    </row>
    <row r="395" spans="2:8" x14ac:dyDescent="0.3">
      <c r="B395" s="268" t="s">
        <v>333</v>
      </c>
      <c r="C395" s="268" t="s">
        <v>334</v>
      </c>
      <c r="D395" s="268" t="s">
        <v>151</v>
      </c>
      <c r="E395" s="268" t="s">
        <v>332</v>
      </c>
      <c r="F395" s="268" t="s">
        <v>316</v>
      </c>
      <c r="G395">
        <v>86</v>
      </c>
      <c r="H395">
        <v>13317</v>
      </c>
    </row>
    <row r="396" spans="2:8" x14ac:dyDescent="0.3">
      <c r="B396" s="268" t="s">
        <v>333</v>
      </c>
      <c r="C396" s="268" t="s">
        <v>334</v>
      </c>
      <c r="D396" s="268" t="s">
        <v>151</v>
      </c>
      <c r="E396" s="268" t="s">
        <v>332</v>
      </c>
      <c r="F396" s="268" t="s">
        <v>317</v>
      </c>
      <c r="G396">
        <v>87</v>
      </c>
      <c r="H396">
        <v>11484</v>
      </c>
    </row>
    <row r="397" spans="2:8" x14ac:dyDescent="0.3">
      <c r="B397" s="268" t="s">
        <v>333</v>
      </c>
      <c r="C397" s="268" t="s">
        <v>334</v>
      </c>
      <c r="D397" s="268" t="s">
        <v>151</v>
      </c>
      <c r="E397" s="268" t="s">
        <v>332</v>
      </c>
      <c r="F397" s="268" t="s">
        <v>318</v>
      </c>
      <c r="G397">
        <v>88</v>
      </c>
      <c r="H397">
        <v>9598</v>
      </c>
    </row>
    <row r="398" spans="2:8" x14ac:dyDescent="0.3">
      <c r="B398" s="268" t="s">
        <v>333</v>
      </c>
      <c r="C398" s="268" t="s">
        <v>334</v>
      </c>
      <c r="D398" s="268" t="s">
        <v>151</v>
      </c>
      <c r="E398" s="268" t="s">
        <v>332</v>
      </c>
      <c r="F398" s="268" t="s">
        <v>319</v>
      </c>
      <c r="G398">
        <v>89</v>
      </c>
      <c r="H398">
        <v>7999</v>
      </c>
    </row>
    <row r="399" spans="2:8" x14ac:dyDescent="0.3">
      <c r="B399" s="268" t="s">
        <v>333</v>
      </c>
      <c r="C399" s="268" t="s">
        <v>334</v>
      </c>
      <c r="D399" s="268" t="s">
        <v>151</v>
      </c>
      <c r="E399" s="268" t="s">
        <v>332</v>
      </c>
      <c r="F399" s="268" t="s">
        <v>320</v>
      </c>
      <c r="G399">
        <v>90</v>
      </c>
      <c r="H399">
        <v>6929</v>
      </c>
    </row>
    <row r="400" spans="2:8" x14ac:dyDescent="0.3">
      <c r="B400" s="268" t="s">
        <v>333</v>
      </c>
      <c r="C400" s="268" t="s">
        <v>334</v>
      </c>
      <c r="D400" s="268" t="s">
        <v>151</v>
      </c>
      <c r="E400" s="268" t="s">
        <v>332</v>
      </c>
      <c r="F400" s="268" t="s">
        <v>321</v>
      </c>
      <c r="G400">
        <v>91</v>
      </c>
      <c r="H400">
        <v>5314</v>
      </c>
    </row>
    <row r="401" spans="1:8" x14ac:dyDescent="0.3">
      <c r="B401" s="268" t="s">
        <v>333</v>
      </c>
      <c r="C401" s="268" t="s">
        <v>334</v>
      </c>
      <c r="D401" s="268" t="s">
        <v>151</v>
      </c>
      <c r="E401" s="268" t="s">
        <v>332</v>
      </c>
      <c r="F401" s="268" t="s">
        <v>322</v>
      </c>
      <c r="G401">
        <v>92</v>
      </c>
      <c r="H401">
        <v>4260</v>
      </c>
    </row>
    <row r="402" spans="1:8" x14ac:dyDescent="0.3">
      <c r="B402" s="268" t="s">
        <v>333</v>
      </c>
      <c r="C402" s="268" t="s">
        <v>334</v>
      </c>
      <c r="D402" s="268" t="s">
        <v>151</v>
      </c>
      <c r="E402" s="268" t="s">
        <v>332</v>
      </c>
      <c r="F402" s="268" t="s">
        <v>323</v>
      </c>
      <c r="G402">
        <v>93</v>
      </c>
      <c r="H402">
        <v>3358</v>
      </c>
    </row>
    <row r="403" spans="1:8" x14ac:dyDescent="0.3">
      <c r="B403" s="268" t="s">
        <v>333</v>
      </c>
      <c r="C403" s="268" t="s">
        <v>334</v>
      </c>
      <c r="D403" s="268" t="s">
        <v>151</v>
      </c>
      <c r="E403" s="268" t="s">
        <v>332</v>
      </c>
      <c r="F403" s="268" t="s">
        <v>324</v>
      </c>
      <c r="G403">
        <v>94</v>
      </c>
      <c r="H403">
        <v>2539</v>
      </c>
    </row>
    <row r="404" spans="1:8" x14ac:dyDescent="0.3">
      <c r="B404" s="268" t="s">
        <v>333</v>
      </c>
      <c r="C404" s="268" t="s">
        <v>334</v>
      </c>
      <c r="D404" s="268" t="s">
        <v>151</v>
      </c>
      <c r="E404" s="268" t="s">
        <v>332</v>
      </c>
      <c r="F404" s="268" t="s">
        <v>325</v>
      </c>
      <c r="G404">
        <v>95</v>
      </c>
      <c r="H404">
        <v>1982</v>
      </c>
    </row>
    <row r="405" spans="1:8" x14ac:dyDescent="0.3">
      <c r="B405" s="268" t="s">
        <v>333</v>
      </c>
      <c r="C405" s="268" t="s">
        <v>334</v>
      </c>
      <c r="D405" s="268" t="s">
        <v>151</v>
      </c>
      <c r="E405" s="268" t="s">
        <v>332</v>
      </c>
      <c r="F405" s="268" t="s">
        <v>326</v>
      </c>
      <c r="G405">
        <v>96</v>
      </c>
      <c r="H405">
        <v>1479</v>
      </c>
    </row>
    <row r="406" spans="1:8" x14ac:dyDescent="0.3">
      <c r="B406" s="268" t="s">
        <v>333</v>
      </c>
      <c r="C406" s="268" t="s">
        <v>334</v>
      </c>
      <c r="D406" s="268" t="s">
        <v>151</v>
      </c>
      <c r="E406" s="268" t="s">
        <v>332</v>
      </c>
      <c r="F406" s="268" t="s">
        <v>327</v>
      </c>
      <c r="G406">
        <v>97</v>
      </c>
      <c r="H406">
        <v>1087</v>
      </c>
    </row>
    <row r="407" spans="1:8" x14ac:dyDescent="0.3">
      <c r="B407" s="268" t="s">
        <v>333</v>
      </c>
      <c r="C407" s="268" t="s">
        <v>334</v>
      </c>
      <c r="D407" s="268" t="s">
        <v>151</v>
      </c>
      <c r="E407" s="268" t="s">
        <v>332</v>
      </c>
      <c r="F407" s="268" t="s">
        <v>328</v>
      </c>
      <c r="G407">
        <v>98</v>
      </c>
      <c r="H407">
        <v>782</v>
      </c>
    </row>
    <row r="408" spans="1:8" x14ac:dyDescent="0.3">
      <c r="B408" s="268" t="s">
        <v>333</v>
      </c>
      <c r="C408" s="268" t="s">
        <v>334</v>
      </c>
      <c r="D408" s="268" t="s">
        <v>151</v>
      </c>
      <c r="E408" s="268" t="s">
        <v>332</v>
      </c>
      <c r="F408" s="268" t="s">
        <v>329</v>
      </c>
      <c r="G408">
        <v>99</v>
      </c>
      <c r="H408">
        <v>515</v>
      </c>
    </row>
    <row r="409" spans="1:8" x14ac:dyDescent="0.3">
      <c r="B409" s="268" t="s">
        <v>333</v>
      </c>
      <c r="C409" s="268" t="s">
        <v>334</v>
      </c>
      <c r="D409" s="268" t="s">
        <v>151</v>
      </c>
      <c r="E409" s="268" t="s">
        <v>332</v>
      </c>
      <c r="F409" s="268" t="s">
        <v>330</v>
      </c>
      <c r="G409" t="s">
        <v>331</v>
      </c>
      <c r="H409">
        <v>696</v>
      </c>
    </row>
    <row r="410" spans="1:8" x14ac:dyDescent="0.3">
      <c r="A410" s="268" t="s">
        <v>70</v>
      </c>
      <c r="B410" s="268" t="s">
        <v>333</v>
      </c>
      <c r="C410" s="268" t="s">
        <v>334</v>
      </c>
      <c r="D410" s="268" t="s">
        <v>151</v>
      </c>
      <c r="E410" s="268" t="s">
        <v>332</v>
      </c>
      <c r="H410">
        <v>9459630</v>
      </c>
    </row>
    <row r="411" spans="1:8" x14ac:dyDescent="0.3">
      <c r="A411" s="268" t="s">
        <v>70</v>
      </c>
      <c r="B411" s="268" t="s">
        <v>333</v>
      </c>
      <c r="C411" s="268" t="s">
        <v>334</v>
      </c>
      <c r="H411">
        <v>19868809</v>
      </c>
    </row>
    <row r="412" spans="1:8" x14ac:dyDescent="0.3">
      <c r="B412" s="268" t="s">
        <v>335</v>
      </c>
      <c r="C412" s="268" t="s">
        <v>336</v>
      </c>
      <c r="D412" s="268" t="s">
        <v>152</v>
      </c>
      <c r="E412" s="268" t="s">
        <v>217</v>
      </c>
      <c r="F412" s="268" t="s">
        <v>218</v>
      </c>
      <c r="G412">
        <v>0</v>
      </c>
      <c r="H412">
        <v>305251</v>
      </c>
    </row>
    <row r="413" spans="1:8" x14ac:dyDescent="0.3">
      <c r="B413" s="268" t="s">
        <v>335</v>
      </c>
      <c r="C413" s="268" t="s">
        <v>336</v>
      </c>
      <c r="D413" s="268" t="s">
        <v>152</v>
      </c>
      <c r="E413" s="268" t="s">
        <v>217</v>
      </c>
      <c r="F413" s="268" t="s">
        <v>220</v>
      </c>
      <c r="G413">
        <v>1</v>
      </c>
      <c r="H413">
        <v>303650</v>
      </c>
    </row>
    <row r="414" spans="1:8" x14ac:dyDescent="0.3">
      <c r="B414" s="268" t="s">
        <v>335</v>
      </c>
      <c r="C414" s="268" t="s">
        <v>336</v>
      </c>
      <c r="D414" s="268" t="s">
        <v>152</v>
      </c>
      <c r="E414" s="268" t="s">
        <v>217</v>
      </c>
      <c r="F414" s="268" t="s">
        <v>221</v>
      </c>
      <c r="G414">
        <v>2</v>
      </c>
      <c r="H414">
        <v>301833</v>
      </c>
    </row>
    <row r="415" spans="1:8" x14ac:dyDescent="0.3">
      <c r="B415" s="268" t="s">
        <v>335</v>
      </c>
      <c r="C415" s="268" t="s">
        <v>336</v>
      </c>
      <c r="D415" s="268" t="s">
        <v>152</v>
      </c>
      <c r="E415" s="268" t="s">
        <v>217</v>
      </c>
      <c r="F415" s="268" t="s">
        <v>223</v>
      </c>
      <c r="G415">
        <v>3</v>
      </c>
      <c r="H415">
        <v>299661</v>
      </c>
    </row>
    <row r="416" spans="1:8" x14ac:dyDescent="0.3">
      <c r="B416" s="268" t="s">
        <v>335</v>
      </c>
      <c r="C416" s="268" t="s">
        <v>336</v>
      </c>
      <c r="D416" s="268" t="s">
        <v>152</v>
      </c>
      <c r="E416" s="268" t="s">
        <v>217</v>
      </c>
      <c r="F416" s="268" t="s">
        <v>225</v>
      </c>
      <c r="G416">
        <v>4</v>
      </c>
      <c r="H416">
        <v>297224</v>
      </c>
    </row>
    <row r="417" spans="2:8" x14ac:dyDescent="0.3">
      <c r="B417" s="268" t="s">
        <v>335</v>
      </c>
      <c r="C417" s="268" t="s">
        <v>336</v>
      </c>
      <c r="D417" s="268" t="s">
        <v>152</v>
      </c>
      <c r="E417" s="268" t="s">
        <v>217</v>
      </c>
      <c r="F417" s="268" t="s">
        <v>226</v>
      </c>
      <c r="G417">
        <v>5</v>
      </c>
      <c r="H417">
        <v>294624</v>
      </c>
    </row>
    <row r="418" spans="2:8" x14ac:dyDescent="0.3">
      <c r="B418" s="268" t="s">
        <v>335</v>
      </c>
      <c r="C418" s="268" t="s">
        <v>336</v>
      </c>
      <c r="D418" s="268" t="s">
        <v>152</v>
      </c>
      <c r="E418" s="268" t="s">
        <v>217</v>
      </c>
      <c r="F418" s="268" t="s">
        <v>227</v>
      </c>
      <c r="G418">
        <v>6</v>
      </c>
      <c r="H418">
        <v>291855</v>
      </c>
    </row>
    <row r="419" spans="2:8" x14ac:dyDescent="0.3">
      <c r="B419" s="268" t="s">
        <v>335</v>
      </c>
      <c r="C419" s="268" t="s">
        <v>336</v>
      </c>
      <c r="D419" s="268" t="s">
        <v>152</v>
      </c>
      <c r="E419" s="268" t="s">
        <v>217</v>
      </c>
      <c r="F419" s="268" t="s">
        <v>229</v>
      </c>
      <c r="G419">
        <v>7</v>
      </c>
      <c r="H419">
        <v>299501</v>
      </c>
    </row>
    <row r="420" spans="2:8" x14ac:dyDescent="0.3">
      <c r="B420" s="268" t="s">
        <v>335</v>
      </c>
      <c r="C420" s="268" t="s">
        <v>336</v>
      </c>
      <c r="D420" s="268" t="s">
        <v>152</v>
      </c>
      <c r="E420" s="268" t="s">
        <v>217</v>
      </c>
      <c r="F420" s="268" t="s">
        <v>230</v>
      </c>
      <c r="G420">
        <v>8</v>
      </c>
      <c r="H420">
        <v>302884</v>
      </c>
    </row>
    <row r="421" spans="2:8" x14ac:dyDescent="0.3">
      <c r="B421" s="268" t="s">
        <v>335</v>
      </c>
      <c r="C421" s="268" t="s">
        <v>336</v>
      </c>
      <c r="D421" s="268" t="s">
        <v>152</v>
      </c>
      <c r="E421" s="268" t="s">
        <v>217</v>
      </c>
      <c r="F421" s="268" t="s">
        <v>231</v>
      </c>
      <c r="G421">
        <v>9</v>
      </c>
      <c r="H421">
        <v>302343</v>
      </c>
    </row>
    <row r="422" spans="2:8" x14ac:dyDescent="0.3">
      <c r="B422" s="268" t="s">
        <v>335</v>
      </c>
      <c r="C422" s="268" t="s">
        <v>336</v>
      </c>
      <c r="D422" s="268" t="s">
        <v>152</v>
      </c>
      <c r="E422" s="268" t="s">
        <v>217</v>
      </c>
      <c r="F422" s="268" t="s">
        <v>233</v>
      </c>
      <c r="G422">
        <v>10</v>
      </c>
      <c r="H422">
        <v>300720</v>
      </c>
    </row>
    <row r="423" spans="2:8" x14ac:dyDescent="0.3">
      <c r="B423" s="268" t="s">
        <v>335</v>
      </c>
      <c r="C423" s="268" t="s">
        <v>336</v>
      </c>
      <c r="D423" s="268" t="s">
        <v>152</v>
      </c>
      <c r="E423" s="268" t="s">
        <v>217</v>
      </c>
      <c r="F423" s="268" t="s">
        <v>234</v>
      </c>
      <c r="G423">
        <v>11</v>
      </c>
      <c r="H423">
        <v>303896</v>
      </c>
    </row>
    <row r="424" spans="2:8" x14ac:dyDescent="0.3">
      <c r="B424" s="268" t="s">
        <v>335</v>
      </c>
      <c r="C424" s="268" t="s">
        <v>336</v>
      </c>
      <c r="D424" s="268" t="s">
        <v>152</v>
      </c>
      <c r="E424" s="268" t="s">
        <v>217</v>
      </c>
      <c r="F424" s="268" t="s">
        <v>235</v>
      </c>
      <c r="G424">
        <v>12</v>
      </c>
      <c r="H424">
        <v>313915</v>
      </c>
    </row>
    <row r="425" spans="2:8" x14ac:dyDescent="0.3">
      <c r="B425" s="268" t="s">
        <v>335</v>
      </c>
      <c r="C425" s="268" t="s">
        <v>336</v>
      </c>
      <c r="D425" s="268" t="s">
        <v>152</v>
      </c>
      <c r="E425" s="268" t="s">
        <v>217</v>
      </c>
      <c r="F425" s="268" t="s">
        <v>237</v>
      </c>
      <c r="G425">
        <v>13</v>
      </c>
      <c r="H425">
        <v>312493</v>
      </c>
    </row>
    <row r="426" spans="2:8" x14ac:dyDescent="0.3">
      <c r="B426" s="268" t="s">
        <v>335</v>
      </c>
      <c r="C426" s="268" t="s">
        <v>336</v>
      </c>
      <c r="D426" s="268" t="s">
        <v>152</v>
      </c>
      <c r="E426" s="268" t="s">
        <v>217</v>
      </c>
      <c r="F426" s="268" t="s">
        <v>239</v>
      </c>
      <c r="G426">
        <v>14</v>
      </c>
      <c r="H426">
        <v>306587</v>
      </c>
    </row>
    <row r="427" spans="2:8" x14ac:dyDescent="0.3">
      <c r="B427" s="268" t="s">
        <v>335</v>
      </c>
      <c r="C427" s="268" t="s">
        <v>336</v>
      </c>
      <c r="D427" s="268" t="s">
        <v>152</v>
      </c>
      <c r="E427" s="268" t="s">
        <v>217</v>
      </c>
      <c r="F427" s="268" t="s">
        <v>241</v>
      </c>
      <c r="G427">
        <v>15</v>
      </c>
      <c r="H427">
        <v>301387</v>
      </c>
    </row>
    <row r="428" spans="2:8" x14ac:dyDescent="0.3">
      <c r="B428" s="268" t="s">
        <v>335</v>
      </c>
      <c r="C428" s="268" t="s">
        <v>336</v>
      </c>
      <c r="D428" s="268" t="s">
        <v>152</v>
      </c>
      <c r="E428" s="268" t="s">
        <v>217</v>
      </c>
      <c r="F428" s="268" t="s">
        <v>243</v>
      </c>
      <c r="G428">
        <v>16</v>
      </c>
      <c r="H428">
        <v>300196</v>
      </c>
    </row>
    <row r="429" spans="2:8" x14ac:dyDescent="0.3">
      <c r="B429" s="268" t="s">
        <v>335</v>
      </c>
      <c r="C429" s="268" t="s">
        <v>336</v>
      </c>
      <c r="D429" s="268" t="s">
        <v>152</v>
      </c>
      <c r="E429" s="268" t="s">
        <v>217</v>
      </c>
      <c r="F429" s="268" t="s">
        <v>245</v>
      </c>
      <c r="G429">
        <v>17</v>
      </c>
      <c r="H429">
        <v>299706</v>
      </c>
    </row>
    <row r="430" spans="2:8" x14ac:dyDescent="0.3">
      <c r="B430" s="268" t="s">
        <v>335</v>
      </c>
      <c r="C430" s="268" t="s">
        <v>336</v>
      </c>
      <c r="D430" s="268" t="s">
        <v>152</v>
      </c>
      <c r="E430" s="268" t="s">
        <v>217</v>
      </c>
      <c r="F430" s="268" t="s">
        <v>247</v>
      </c>
      <c r="G430">
        <v>18</v>
      </c>
      <c r="H430">
        <v>305639</v>
      </c>
    </row>
    <row r="431" spans="2:8" x14ac:dyDescent="0.3">
      <c r="B431" s="268" t="s">
        <v>335</v>
      </c>
      <c r="C431" s="268" t="s">
        <v>336</v>
      </c>
      <c r="D431" s="268" t="s">
        <v>152</v>
      </c>
      <c r="E431" s="268" t="s">
        <v>217</v>
      </c>
      <c r="F431" s="268" t="s">
        <v>249</v>
      </c>
      <c r="G431">
        <v>19</v>
      </c>
      <c r="H431">
        <v>317188</v>
      </c>
    </row>
    <row r="432" spans="2:8" x14ac:dyDescent="0.3">
      <c r="B432" s="268" t="s">
        <v>335</v>
      </c>
      <c r="C432" s="268" t="s">
        <v>336</v>
      </c>
      <c r="D432" s="268" t="s">
        <v>152</v>
      </c>
      <c r="E432" s="268" t="s">
        <v>217</v>
      </c>
      <c r="F432" s="268" t="s">
        <v>250</v>
      </c>
      <c r="G432">
        <v>20</v>
      </c>
      <c r="H432">
        <v>327022</v>
      </c>
    </row>
    <row r="433" spans="2:8" x14ac:dyDescent="0.3">
      <c r="B433" s="268" t="s">
        <v>335</v>
      </c>
      <c r="C433" s="268" t="s">
        <v>336</v>
      </c>
      <c r="D433" s="268" t="s">
        <v>152</v>
      </c>
      <c r="E433" s="268" t="s">
        <v>217</v>
      </c>
      <c r="F433" s="268" t="s">
        <v>251</v>
      </c>
      <c r="G433">
        <v>21</v>
      </c>
      <c r="H433">
        <v>321093</v>
      </c>
    </row>
    <row r="434" spans="2:8" x14ac:dyDescent="0.3">
      <c r="B434" s="268" t="s">
        <v>335</v>
      </c>
      <c r="C434" s="268" t="s">
        <v>336</v>
      </c>
      <c r="D434" s="268" t="s">
        <v>152</v>
      </c>
      <c r="E434" s="268" t="s">
        <v>217</v>
      </c>
      <c r="F434" s="268" t="s">
        <v>252</v>
      </c>
      <c r="G434">
        <v>22</v>
      </c>
      <c r="H434">
        <v>324450</v>
      </c>
    </row>
    <row r="435" spans="2:8" x14ac:dyDescent="0.3">
      <c r="B435" s="268" t="s">
        <v>335</v>
      </c>
      <c r="C435" s="268" t="s">
        <v>336</v>
      </c>
      <c r="D435" s="268" t="s">
        <v>152</v>
      </c>
      <c r="E435" s="268" t="s">
        <v>217</v>
      </c>
      <c r="F435" s="268" t="s">
        <v>253</v>
      </c>
      <c r="G435">
        <v>23</v>
      </c>
      <c r="H435">
        <v>325796</v>
      </c>
    </row>
    <row r="436" spans="2:8" x14ac:dyDescent="0.3">
      <c r="B436" s="268" t="s">
        <v>335</v>
      </c>
      <c r="C436" s="268" t="s">
        <v>336</v>
      </c>
      <c r="D436" s="268" t="s">
        <v>152</v>
      </c>
      <c r="E436" s="268" t="s">
        <v>217</v>
      </c>
      <c r="F436" s="268" t="s">
        <v>254</v>
      </c>
      <c r="G436">
        <v>24</v>
      </c>
      <c r="H436">
        <v>327873</v>
      </c>
    </row>
    <row r="437" spans="2:8" x14ac:dyDescent="0.3">
      <c r="B437" s="268" t="s">
        <v>335</v>
      </c>
      <c r="C437" s="268" t="s">
        <v>336</v>
      </c>
      <c r="D437" s="268" t="s">
        <v>152</v>
      </c>
      <c r="E437" s="268" t="s">
        <v>217</v>
      </c>
      <c r="F437" s="268" t="s">
        <v>255</v>
      </c>
      <c r="G437">
        <v>25</v>
      </c>
      <c r="H437">
        <v>343650</v>
      </c>
    </row>
    <row r="438" spans="2:8" x14ac:dyDescent="0.3">
      <c r="B438" s="268" t="s">
        <v>335</v>
      </c>
      <c r="C438" s="268" t="s">
        <v>336</v>
      </c>
      <c r="D438" s="268" t="s">
        <v>152</v>
      </c>
      <c r="E438" s="268" t="s">
        <v>217</v>
      </c>
      <c r="F438" s="268" t="s">
        <v>256</v>
      </c>
      <c r="G438">
        <v>26</v>
      </c>
      <c r="H438">
        <v>360221</v>
      </c>
    </row>
    <row r="439" spans="2:8" x14ac:dyDescent="0.3">
      <c r="B439" s="268" t="s">
        <v>335</v>
      </c>
      <c r="C439" s="268" t="s">
        <v>336</v>
      </c>
      <c r="D439" s="268" t="s">
        <v>152</v>
      </c>
      <c r="E439" s="268" t="s">
        <v>217</v>
      </c>
      <c r="F439" s="268" t="s">
        <v>257</v>
      </c>
      <c r="G439">
        <v>27</v>
      </c>
      <c r="H439">
        <v>369359</v>
      </c>
    </row>
    <row r="440" spans="2:8" x14ac:dyDescent="0.3">
      <c r="B440" s="268" t="s">
        <v>335</v>
      </c>
      <c r="C440" s="268" t="s">
        <v>336</v>
      </c>
      <c r="D440" s="268" t="s">
        <v>152</v>
      </c>
      <c r="E440" s="268" t="s">
        <v>217</v>
      </c>
      <c r="F440" s="268" t="s">
        <v>258</v>
      </c>
      <c r="G440">
        <v>28</v>
      </c>
      <c r="H440">
        <v>379253</v>
      </c>
    </row>
    <row r="441" spans="2:8" x14ac:dyDescent="0.3">
      <c r="B441" s="268" t="s">
        <v>335</v>
      </c>
      <c r="C441" s="268" t="s">
        <v>336</v>
      </c>
      <c r="D441" s="268" t="s">
        <v>152</v>
      </c>
      <c r="E441" s="268" t="s">
        <v>217</v>
      </c>
      <c r="F441" s="268" t="s">
        <v>259</v>
      </c>
      <c r="G441">
        <v>29</v>
      </c>
      <c r="H441">
        <v>386079</v>
      </c>
    </row>
    <row r="442" spans="2:8" x14ac:dyDescent="0.3">
      <c r="B442" s="268" t="s">
        <v>335</v>
      </c>
      <c r="C442" s="268" t="s">
        <v>336</v>
      </c>
      <c r="D442" s="268" t="s">
        <v>152</v>
      </c>
      <c r="E442" s="268" t="s">
        <v>217</v>
      </c>
      <c r="F442" s="268" t="s">
        <v>260</v>
      </c>
      <c r="G442">
        <v>30</v>
      </c>
      <c r="H442">
        <v>381901</v>
      </c>
    </row>
    <row r="443" spans="2:8" x14ac:dyDescent="0.3">
      <c r="B443" s="268" t="s">
        <v>335</v>
      </c>
      <c r="C443" s="268" t="s">
        <v>336</v>
      </c>
      <c r="D443" s="268" t="s">
        <v>152</v>
      </c>
      <c r="E443" s="268" t="s">
        <v>217</v>
      </c>
      <c r="F443" s="268" t="s">
        <v>261</v>
      </c>
      <c r="G443">
        <v>31</v>
      </c>
      <c r="H443">
        <v>358842</v>
      </c>
    </row>
    <row r="444" spans="2:8" x14ac:dyDescent="0.3">
      <c r="B444" s="268" t="s">
        <v>335</v>
      </c>
      <c r="C444" s="268" t="s">
        <v>336</v>
      </c>
      <c r="D444" s="268" t="s">
        <v>152</v>
      </c>
      <c r="E444" s="268" t="s">
        <v>217</v>
      </c>
      <c r="F444" s="268" t="s">
        <v>262</v>
      </c>
      <c r="G444">
        <v>32</v>
      </c>
      <c r="H444">
        <v>337361</v>
      </c>
    </row>
    <row r="445" spans="2:8" x14ac:dyDescent="0.3">
      <c r="B445" s="268" t="s">
        <v>335</v>
      </c>
      <c r="C445" s="268" t="s">
        <v>336</v>
      </c>
      <c r="D445" s="268" t="s">
        <v>152</v>
      </c>
      <c r="E445" s="268" t="s">
        <v>217</v>
      </c>
      <c r="F445" s="268" t="s">
        <v>263</v>
      </c>
      <c r="G445">
        <v>33</v>
      </c>
      <c r="H445">
        <v>325133</v>
      </c>
    </row>
    <row r="446" spans="2:8" x14ac:dyDescent="0.3">
      <c r="B446" s="268" t="s">
        <v>335</v>
      </c>
      <c r="C446" s="268" t="s">
        <v>336</v>
      </c>
      <c r="D446" s="268" t="s">
        <v>152</v>
      </c>
      <c r="E446" s="268" t="s">
        <v>217</v>
      </c>
      <c r="F446" s="268" t="s">
        <v>264</v>
      </c>
      <c r="G446">
        <v>34</v>
      </c>
      <c r="H446">
        <v>320502</v>
      </c>
    </row>
    <row r="447" spans="2:8" x14ac:dyDescent="0.3">
      <c r="B447" s="268" t="s">
        <v>335</v>
      </c>
      <c r="C447" s="268" t="s">
        <v>336</v>
      </c>
      <c r="D447" s="268" t="s">
        <v>152</v>
      </c>
      <c r="E447" s="268" t="s">
        <v>217</v>
      </c>
      <c r="F447" s="268" t="s">
        <v>265</v>
      </c>
      <c r="G447">
        <v>35</v>
      </c>
      <c r="H447">
        <v>319714</v>
      </c>
    </row>
    <row r="448" spans="2:8" x14ac:dyDescent="0.3">
      <c r="B448" s="268" t="s">
        <v>335</v>
      </c>
      <c r="C448" s="268" t="s">
        <v>336</v>
      </c>
      <c r="D448" s="268" t="s">
        <v>152</v>
      </c>
      <c r="E448" s="268" t="s">
        <v>217</v>
      </c>
      <c r="F448" s="268" t="s">
        <v>266</v>
      </c>
      <c r="G448">
        <v>36</v>
      </c>
      <c r="H448">
        <v>307043</v>
      </c>
    </row>
    <row r="449" spans="2:8" x14ac:dyDescent="0.3">
      <c r="B449" s="268" t="s">
        <v>335</v>
      </c>
      <c r="C449" s="268" t="s">
        <v>336</v>
      </c>
      <c r="D449" s="268" t="s">
        <v>152</v>
      </c>
      <c r="E449" s="268" t="s">
        <v>217</v>
      </c>
      <c r="F449" s="268" t="s">
        <v>267</v>
      </c>
      <c r="G449">
        <v>37</v>
      </c>
      <c r="H449">
        <v>311255</v>
      </c>
    </row>
    <row r="450" spans="2:8" x14ac:dyDescent="0.3">
      <c r="B450" s="268" t="s">
        <v>335</v>
      </c>
      <c r="C450" s="268" t="s">
        <v>336</v>
      </c>
      <c r="D450" s="268" t="s">
        <v>152</v>
      </c>
      <c r="E450" s="268" t="s">
        <v>217</v>
      </c>
      <c r="F450" s="268" t="s">
        <v>268</v>
      </c>
      <c r="G450">
        <v>38</v>
      </c>
      <c r="H450">
        <v>311790</v>
      </c>
    </row>
    <row r="451" spans="2:8" x14ac:dyDescent="0.3">
      <c r="B451" s="268" t="s">
        <v>335</v>
      </c>
      <c r="C451" s="268" t="s">
        <v>336</v>
      </c>
      <c r="D451" s="268" t="s">
        <v>152</v>
      </c>
      <c r="E451" s="268" t="s">
        <v>217</v>
      </c>
      <c r="F451" s="268" t="s">
        <v>269</v>
      </c>
      <c r="G451">
        <v>39</v>
      </c>
      <c r="H451">
        <v>309770</v>
      </c>
    </row>
    <row r="452" spans="2:8" x14ac:dyDescent="0.3">
      <c r="B452" s="268" t="s">
        <v>335</v>
      </c>
      <c r="C452" s="268" t="s">
        <v>336</v>
      </c>
      <c r="D452" s="268" t="s">
        <v>152</v>
      </c>
      <c r="E452" s="268" t="s">
        <v>217</v>
      </c>
      <c r="F452" s="268" t="s">
        <v>270</v>
      </c>
      <c r="G452">
        <v>40</v>
      </c>
      <c r="H452">
        <v>320854</v>
      </c>
    </row>
    <row r="453" spans="2:8" x14ac:dyDescent="0.3">
      <c r="B453" s="268" t="s">
        <v>335</v>
      </c>
      <c r="C453" s="268" t="s">
        <v>336</v>
      </c>
      <c r="D453" s="268" t="s">
        <v>152</v>
      </c>
      <c r="E453" s="268" t="s">
        <v>217</v>
      </c>
      <c r="F453" s="268" t="s">
        <v>271</v>
      </c>
      <c r="G453">
        <v>41</v>
      </c>
      <c r="H453">
        <v>301117</v>
      </c>
    </row>
    <row r="454" spans="2:8" x14ac:dyDescent="0.3">
      <c r="B454" s="268" t="s">
        <v>335</v>
      </c>
      <c r="C454" s="268" t="s">
        <v>336</v>
      </c>
      <c r="D454" s="268" t="s">
        <v>152</v>
      </c>
      <c r="E454" s="268" t="s">
        <v>217</v>
      </c>
      <c r="F454" s="268" t="s">
        <v>272</v>
      </c>
      <c r="G454">
        <v>42</v>
      </c>
      <c r="H454">
        <v>290305</v>
      </c>
    </row>
    <row r="455" spans="2:8" x14ac:dyDescent="0.3">
      <c r="B455" s="268" t="s">
        <v>335</v>
      </c>
      <c r="C455" s="268" t="s">
        <v>336</v>
      </c>
      <c r="D455" s="268" t="s">
        <v>152</v>
      </c>
      <c r="E455" s="268" t="s">
        <v>217</v>
      </c>
      <c r="F455" s="268" t="s">
        <v>273</v>
      </c>
      <c r="G455">
        <v>43</v>
      </c>
      <c r="H455">
        <v>287720</v>
      </c>
    </row>
    <row r="456" spans="2:8" x14ac:dyDescent="0.3">
      <c r="B456" s="268" t="s">
        <v>335</v>
      </c>
      <c r="C456" s="268" t="s">
        <v>336</v>
      </c>
      <c r="D456" s="268" t="s">
        <v>152</v>
      </c>
      <c r="E456" s="268" t="s">
        <v>217</v>
      </c>
      <c r="F456" s="268" t="s">
        <v>274</v>
      </c>
      <c r="G456">
        <v>44</v>
      </c>
      <c r="H456">
        <v>276083</v>
      </c>
    </row>
    <row r="457" spans="2:8" x14ac:dyDescent="0.3">
      <c r="B457" s="268" t="s">
        <v>335</v>
      </c>
      <c r="C457" s="268" t="s">
        <v>336</v>
      </c>
      <c r="D457" s="268" t="s">
        <v>152</v>
      </c>
      <c r="E457" s="268" t="s">
        <v>217</v>
      </c>
      <c r="F457" s="268" t="s">
        <v>275</v>
      </c>
      <c r="G457">
        <v>45</v>
      </c>
      <c r="H457">
        <v>282607</v>
      </c>
    </row>
    <row r="458" spans="2:8" x14ac:dyDescent="0.3">
      <c r="B458" s="268" t="s">
        <v>335</v>
      </c>
      <c r="C458" s="268" t="s">
        <v>336</v>
      </c>
      <c r="D458" s="268" t="s">
        <v>152</v>
      </c>
      <c r="E458" s="268" t="s">
        <v>217</v>
      </c>
      <c r="F458" s="268" t="s">
        <v>276</v>
      </c>
      <c r="G458">
        <v>46</v>
      </c>
      <c r="H458">
        <v>273729</v>
      </c>
    </row>
    <row r="459" spans="2:8" x14ac:dyDescent="0.3">
      <c r="B459" s="268" t="s">
        <v>335</v>
      </c>
      <c r="C459" s="268" t="s">
        <v>336</v>
      </c>
      <c r="D459" s="268" t="s">
        <v>152</v>
      </c>
      <c r="E459" s="268" t="s">
        <v>217</v>
      </c>
      <c r="F459" s="268" t="s">
        <v>277</v>
      </c>
      <c r="G459">
        <v>47</v>
      </c>
      <c r="H459">
        <v>281746</v>
      </c>
    </row>
    <row r="460" spans="2:8" x14ac:dyDescent="0.3">
      <c r="B460" s="268" t="s">
        <v>335</v>
      </c>
      <c r="C460" s="268" t="s">
        <v>336</v>
      </c>
      <c r="D460" s="268" t="s">
        <v>152</v>
      </c>
      <c r="E460" s="268" t="s">
        <v>217</v>
      </c>
      <c r="F460" s="268" t="s">
        <v>278</v>
      </c>
      <c r="G460">
        <v>48</v>
      </c>
      <c r="H460">
        <v>290567</v>
      </c>
    </row>
    <row r="461" spans="2:8" x14ac:dyDescent="0.3">
      <c r="B461" s="268" t="s">
        <v>335</v>
      </c>
      <c r="C461" s="268" t="s">
        <v>336</v>
      </c>
      <c r="D461" s="268" t="s">
        <v>152</v>
      </c>
      <c r="E461" s="268" t="s">
        <v>217</v>
      </c>
      <c r="F461" s="268" t="s">
        <v>279</v>
      </c>
      <c r="G461">
        <v>49</v>
      </c>
      <c r="H461">
        <v>303169</v>
      </c>
    </row>
    <row r="462" spans="2:8" x14ac:dyDescent="0.3">
      <c r="B462" s="268" t="s">
        <v>335</v>
      </c>
      <c r="C462" s="268" t="s">
        <v>336</v>
      </c>
      <c r="D462" s="268" t="s">
        <v>152</v>
      </c>
      <c r="E462" s="268" t="s">
        <v>217</v>
      </c>
      <c r="F462" s="268" t="s">
        <v>280</v>
      </c>
      <c r="G462">
        <v>50</v>
      </c>
      <c r="H462">
        <v>299771</v>
      </c>
    </row>
    <row r="463" spans="2:8" x14ac:dyDescent="0.3">
      <c r="B463" s="268" t="s">
        <v>335</v>
      </c>
      <c r="C463" s="268" t="s">
        <v>336</v>
      </c>
      <c r="D463" s="268" t="s">
        <v>152</v>
      </c>
      <c r="E463" s="268" t="s">
        <v>217</v>
      </c>
      <c r="F463" s="268" t="s">
        <v>281</v>
      </c>
      <c r="G463">
        <v>51</v>
      </c>
      <c r="H463">
        <v>278518</v>
      </c>
    </row>
    <row r="464" spans="2:8" x14ac:dyDescent="0.3">
      <c r="B464" s="268" t="s">
        <v>335</v>
      </c>
      <c r="C464" s="268" t="s">
        <v>336</v>
      </c>
      <c r="D464" s="268" t="s">
        <v>152</v>
      </c>
      <c r="E464" s="268" t="s">
        <v>217</v>
      </c>
      <c r="F464" s="268" t="s">
        <v>282</v>
      </c>
      <c r="G464">
        <v>52</v>
      </c>
      <c r="H464">
        <v>279648</v>
      </c>
    </row>
    <row r="465" spans="2:8" x14ac:dyDescent="0.3">
      <c r="B465" s="268" t="s">
        <v>335</v>
      </c>
      <c r="C465" s="268" t="s">
        <v>336</v>
      </c>
      <c r="D465" s="268" t="s">
        <v>152</v>
      </c>
      <c r="E465" s="268" t="s">
        <v>217</v>
      </c>
      <c r="F465" s="268" t="s">
        <v>283</v>
      </c>
      <c r="G465">
        <v>53</v>
      </c>
      <c r="H465">
        <v>279162</v>
      </c>
    </row>
    <row r="466" spans="2:8" x14ac:dyDescent="0.3">
      <c r="B466" s="268" t="s">
        <v>335</v>
      </c>
      <c r="C466" s="268" t="s">
        <v>336</v>
      </c>
      <c r="D466" s="268" t="s">
        <v>152</v>
      </c>
      <c r="E466" s="268" t="s">
        <v>217</v>
      </c>
      <c r="F466" s="268" t="s">
        <v>284</v>
      </c>
      <c r="G466">
        <v>54</v>
      </c>
      <c r="H466">
        <v>287901</v>
      </c>
    </row>
    <row r="467" spans="2:8" x14ac:dyDescent="0.3">
      <c r="B467" s="268" t="s">
        <v>335</v>
      </c>
      <c r="C467" s="268" t="s">
        <v>336</v>
      </c>
      <c r="D467" s="268" t="s">
        <v>152</v>
      </c>
      <c r="E467" s="268" t="s">
        <v>217</v>
      </c>
      <c r="F467" s="268" t="s">
        <v>285</v>
      </c>
      <c r="G467">
        <v>55</v>
      </c>
      <c r="H467">
        <v>300344</v>
      </c>
    </row>
    <row r="468" spans="2:8" x14ac:dyDescent="0.3">
      <c r="B468" s="268" t="s">
        <v>335</v>
      </c>
      <c r="C468" s="268" t="s">
        <v>336</v>
      </c>
      <c r="D468" s="268" t="s">
        <v>152</v>
      </c>
      <c r="E468" s="268" t="s">
        <v>217</v>
      </c>
      <c r="F468" s="268" t="s">
        <v>286</v>
      </c>
      <c r="G468">
        <v>56</v>
      </c>
      <c r="H468">
        <v>298384</v>
      </c>
    </row>
    <row r="469" spans="2:8" x14ac:dyDescent="0.3">
      <c r="B469" s="268" t="s">
        <v>335</v>
      </c>
      <c r="C469" s="268" t="s">
        <v>336</v>
      </c>
      <c r="D469" s="268" t="s">
        <v>152</v>
      </c>
      <c r="E469" s="268" t="s">
        <v>217</v>
      </c>
      <c r="F469" s="268" t="s">
        <v>287</v>
      </c>
      <c r="G469">
        <v>57</v>
      </c>
      <c r="H469">
        <v>293526</v>
      </c>
    </row>
    <row r="470" spans="2:8" x14ac:dyDescent="0.3">
      <c r="B470" s="268" t="s">
        <v>335</v>
      </c>
      <c r="C470" s="268" t="s">
        <v>336</v>
      </c>
      <c r="D470" s="268" t="s">
        <v>152</v>
      </c>
      <c r="E470" s="268" t="s">
        <v>217</v>
      </c>
      <c r="F470" s="268" t="s">
        <v>288</v>
      </c>
      <c r="G470">
        <v>58</v>
      </c>
      <c r="H470">
        <v>290050</v>
      </c>
    </row>
    <row r="471" spans="2:8" x14ac:dyDescent="0.3">
      <c r="B471" s="268" t="s">
        <v>335</v>
      </c>
      <c r="C471" s="268" t="s">
        <v>336</v>
      </c>
      <c r="D471" s="268" t="s">
        <v>152</v>
      </c>
      <c r="E471" s="268" t="s">
        <v>217</v>
      </c>
      <c r="F471" s="268" t="s">
        <v>289</v>
      </c>
      <c r="G471">
        <v>59</v>
      </c>
      <c r="H471">
        <v>290675</v>
      </c>
    </row>
    <row r="472" spans="2:8" x14ac:dyDescent="0.3">
      <c r="B472" s="268" t="s">
        <v>335</v>
      </c>
      <c r="C472" s="268" t="s">
        <v>336</v>
      </c>
      <c r="D472" s="268" t="s">
        <v>152</v>
      </c>
      <c r="E472" s="268" t="s">
        <v>217</v>
      </c>
      <c r="F472" s="268" t="s">
        <v>290</v>
      </c>
      <c r="G472">
        <v>60</v>
      </c>
      <c r="H472">
        <v>295425</v>
      </c>
    </row>
    <row r="473" spans="2:8" x14ac:dyDescent="0.3">
      <c r="B473" s="268" t="s">
        <v>335</v>
      </c>
      <c r="C473" s="268" t="s">
        <v>336</v>
      </c>
      <c r="D473" s="268" t="s">
        <v>152</v>
      </c>
      <c r="E473" s="268" t="s">
        <v>217</v>
      </c>
      <c r="F473" s="268" t="s">
        <v>291</v>
      </c>
      <c r="G473">
        <v>61</v>
      </c>
      <c r="H473">
        <v>282154</v>
      </c>
    </row>
    <row r="474" spans="2:8" x14ac:dyDescent="0.3">
      <c r="B474" s="268" t="s">
        <v>335</v>
      </c>
      <c r="C474" s="268" t="s">
        <v>336</v>
      </c>
      <c r="D474" s="268" t="s">
        <v>152</v>
      </c>
      <c r="E474" s="268" t="s">
        <v>217</v>
      </c>
      <c r="F474" s="268" t="s">
        <v>292</v>
      </c>
      <c r="G474">
        <v>62</v>
      </c>
      <c r="H474">
        <v>272410</v>
      </c>
    </row>
    <row r="475" spans="2:8" x14ac:dyDescent="0.3">
      <c r="B475" s="268" t="s">
        <v>335</v>
      </c>
      <c r="C475" s="268" t="s">
        <v>336</v>
      </c>
      <c r="D475" s="268" t="s">
        <v>152</v>
      </c>
      <c r="E475" s="268" t="s">
        <v>217</v>
      </c>
      <c r="F475" s="268" t="s">
        <v>293</v>
      </c>
      <c r="G475">
        <v>63</v>
      </c>
      <c r="H475">
        <v>270500</v>
      </c>
    </row>
    <row r="476" spans="2:8" x14ac:dyDescent="0.3">
      <c r="B476" s="268" t="s">
        <v>335</v>
      </c>
      <c r="C476" s="268" t="s">
        <v>336</v>
      </c>
      <c r="D476" s="268" t="s">
        <v>152</v>
      </c>
      <c r="E476" s="268" t="s">
        <v>217</v>
      </c>
      <c r="F476" s="268" t="s">
        <v>294</v>
      </c>
      <c r="G476">
        <v>64</v>
      </c>
      <c r="H476">
        <v>258668</v>
      </c>
    </row>
    <row r="477" spans="2:8" x14ac:dyDescent="0.3">
      <c r="B477" s="268" t="s">
        <v>335</v>
      </c>
      <c r="C477" s="268" t="s">
        <v>336</v>
      </c>
      <c r="D477" s="268" t="s">
        <v>152</v>
      </c>
      <c r="E477" s="268" t="s">
        <v>217</v>
      </c>
      <c r="F477" s="268" t="s">
        <v>295</v>
      </c>
      <c r="G477">
        <v>65</v>
      </c>
      <c r="H477">
        <v>250651</v>
      </c>
    </row>
    <row r="478" spans="2:8" x14ac:dyDescent="0.3">
      <c r="B478" s="268" t="s">
        <v>335</v>
      </c>
      <c r="C478" s="268" t="s">
        <v>336</v>
      </c>
      <c r="D478" s="268" t="s">
        <v>152</v>
      </c>
      <c r="E478" s="268" t="s">
        <v>217</v>
      </c>
      <c r="F478" s="268" t="s">
        <v>296</v>
      </c>
      <c r="G478">
        <v>66</v>
      </c>
      <c r="H478">
        <v>235748</v>
      </c>
    </row>
    <row r="479" spans="2:8" x14ac:dyDescent="0.3">
      <c r="B479" s="268" t="s">
        <v>335</v>
      </c>
      <c r="C479" s="268" t="s">
        <v>336</v>
      </c>
      <c r="D479" s="268" t="s">
        <v>152</v>
      </c>
      <c r="E479" s="268" t="s">
        <v>217</v>
      </c>
      <c r="F479" s="268" t="s">
        <v>297</v>
      </c>
      <c r="G479">
        <v>67</v>
      </c>
      <c r="H479">
        <v>219948</v>
      </c>
    </row>
    <row r="480" spans="2:8" x14ac:dyDescent="0.3">
      <c r="B480" s="268" t="s">
        <v>335</v>
      </c>
      <c r="C480" s="268" t="s">
        <v>336</v>
      </c>
      <c r="D480" s="268" t="s">
        <v>152</v>
      </c>
      <c r="E480" s="268" t="s">
        <v>217</v>
      </c>
      <c r="F480" s="268" t="s">
        <v>298</v>
      </c>
      <c r="G480">
        <v>68</v>
      </c>
      <c r="H480">
        <v>208190</v>
      </c>
    </row>
    <row r="481" spans="2:8" x14ac:dyDescent="0.3">
      <c r="B481" s="268" t="s">
        <v>335</v>
      </c>
      <c r="C481" s="268" t="s">
        <v>336</v>
      </c>
      <c r="D481" s="268" t="s">
        <v>152</v>
      </c>
      <c r="E481" s="268" t="s">
        <v>217</v>
      </c>
      <c r="F481" s="268" t="s">
        <v>299</v>
      </c>
      <c r="G481">
        <v>69</v>
      </c>
      <c r="H481">
        <v>204449</v>
      </c>
    </row>
    <row r="482" spans="2:8" x14ac:dyDescent="0.3">
      <c r="B482" s="268" t="s">
        <v>335</v>
      </c>
      <c r="C482" s="268" t="s">
        <v>336</v>
      </c>
      <c r="D482" s="268" t="s">
        <v>152</v>
      </c>
      <c r="E482" s="268" t="s">
        <v>217</v>
      </c>
      <c r="F482" s="268" t="s">
        <v>300</v>
      </c>
      <c r="G482">
        <v>70</v>
      </c>
      <c r="H482">
        <v>196186</v>
      </c>
    </row>
    <row r="483" spans="2:8" x14ac:dyDescent="0.3">
      <c r="B483" s="268" t="s">
        <v>335</v>
      </c>
      <c r="C483" s="268" t="s">
        <v>336</v>
      </c>
      <c r="D483" s="268" t="s">
        <v>152</v>
      </c>
      <c r="E483" s="268" t="s">
        <v>217</v>
      </c>
      <c r="F483" s="268" t="s">
        <v>301</v>
      </c>
      <c r="G483">
        <v>71</v>
      </c>
      <c r="H483">
        <v>180926</v>
      </c>
    </row>
    <row r="484" spans="2:8" x14ac:dyDescent="0.3">
      <c r="B484" s="268" t="s">
        <v>335</v>
      </c>
      <c r="C484" s="268" t="s">
        <v>336</v>
      </c>
      <c r="D484" s="268" t="s">
        <v>152</v>
      </c>
      <c r="E484" s="268" t="s">
        <v>217</v>
      </c>
      <c r="F484" s="268" t="s">
        <v>302</v>
      </c>
      <c r="G484">
        <v>72</v>
      </c>
      <c r="H484">
        <v>169754</v>
      </c>
    </row>
    <row r="485" spans="2:8" x14ac:dyDescent="0.3">
      <c r="B485" s="268" t="s">
        <v>335</v>
      </c>
      <c r="C485" s="268" t="s">
        <v>336</v>
      </c>
      <c r="D485" s="268" t="s">
        <v>152</v>
      </c>
      <c r="E485" s="268" t="s">
        <v>217</v>
      </c>
      <c r="F485" s="268" t="s">
        <v>303</v>
      </c>
      <c r="G485">
        <v>73</v>
      </c>
      <c r="H485">
        <v>158864</v>
      </c>
    </row>
    <row r="486" spans="2:8" x14ac:dyDescent="0.3">
      <c r="B486" s="268" t="s">
        <v>335</v>
      </c>
      <c r="C486" s="268" t="s">
        <v>336</v>
      </c>
      <c r="D486" s="268" t="s">
        <v>152</v>
      </c>
      <c r="E486" s="268" t="s">
        <v>217</v>
      </c>
      <c r="F486" s="268" t="s">
        <v>304</v>
      </c>
      <c r="G486">
        <v>74</v>
      </c>
      <c r="H486">
        <v>126933</v>
      </c>
    </row>
    <row r="487" spans="2:8" x14ac:dyDescent="0.3">
      <c r="B487" s="268" t="s">
        <v>335</v>
      </c>
      <c r="C487" s="268" t="s">
        <v>336</v>
      </c>
      <c r="D487" s="268" t="s">
        <v>152</v>
      </c>
      <c r="E487" s="268" t="s">
        <v>217</v>
      </c>
      <c r="F487" s="268" t="s">
        <v>305</v>
      </c>
      <c r="G487">
        <v>75</v>
      </c>
      <c r="H487">
        <v>124414</v>
      </c>
    </row>
    <row r="488" spans="2:8" x14ac:dyDescent="0.3">
      <c r="B488" s="268" t="s">
        <v>335</v>
      </c>
      <c r="C488" s="268" t="s">
        <v>336</v>
      </c>
      <c r="D488" s="268" t="s">
        <v>152</v>
      </c>
      <c r="E488" s="268" t="s">
        <v>217</v>
      </c>
      <c r="F488" s="268" t="s">
        <v>306</v>
      </c>
      <c r="G488">
        <v>76</v>
      </c>
      <c r="H488">
        <v>114653</v>
      </c>
    </row>
    <row r="489" spans="2:8" x14ac:dyDescent="0.3">
      <c r="B489" s="268" t="s">
        <v>335</v>
      </c>
      <c r="C489" s="268" t="s">
        <v>336</v>
      </c>
      <c r="D489" s="268" t="s">
        <v>152</v>
      </c>
      <c r="E489" s="268" t="s">
        <v>217</v>
      </c>
      <c r="F489" s="268" t="s">
        <v>307</v>
      </c>
      <c r="G489">
        <v>77</v>
      </c>
      <c r="H489">
        <v>111614</v>
      </c>
    </row>
    <row r="490" spans="2:8" x14ac:dyDescent="0.3">
      <c r="B490" s="268" t="s">
        <v>335</v>
      </c>
      <c r="C490" s="268" t="s">
        <v>336</v>
      </c>
      <c r="D490" s="268" t="s">
        <v>152</v>
      </c>
      <c r="E490" s="268" t="s">
        <v>217</v>
      </c>
      <c r="F490" s="268" t="s">
        <v>308</v>
      </c>
      <c r="G490">
        <v>78</v>
      </c>
      <c r="H490">
        <v>98281</v>
      </c>
    </row>
    <row r="491" spans="2:8" x14ac:dyDescent="0.3">
      <c r="B491" s="268" t="s">
        <v>335</v>
      </c>
      <c r="C491" s="268" t="s">
        <v>336</v>
      </c>
      <c r="D491" s="268" t="s">
        <v>152</v>
      </c>
      <c r="E491" s="268" t="s">
        <v>217</v>
      </c>
      <c r="F491" s="268" t="s">
        <v>309</v>
      </c>
      <c r="G491">
        <v>79</v>
      </c>
      <c r="H491">
        <v>91271</v>
      </c>
    </row>
    <row r="492" spans="2:8" x14ac:dyDescent="0.3">
      <c r="B492" s="268" t="s">
        <v>335</v>
      </c>
      <c r="C492" s="268" t="s">
        <v>336</v>
      </c>
      <c r="D492" s="268" t="s">
        <v>152</v>
      </c>
      <c r="E492" s="268" t="s">
        <v>217</v>
      </c>
      <c r="F492" s="268" t="s">
        <v>310</v>
      </c>
      <c r="G492">
        <v>80</v>
      </c>
      <c r="H492">
        <v>86175</v>
      </c>
    </row>
    <row r="493" spans="2:8" x14ac:dyDescent="0.3">
      <c r="B493" s="268" t="s">
        <v>335</v>
      </c>
      <c r="C493" s="268" t="s">
        <v>336</v>
      </c>
      <c r="D493" s="268" t="s">
        <v>152</v>
      </c>
      <c r="E493" s="268" t="s">
        <v>217</v>
      </c>
      <c r="F493" s="268" t="s">
        <v>311</v>
      </c>
      <c r="G493">
        <v>81</v>
      </c>
      <c r="H493">
        <v>75882</v>
      </c>
    </row>
    <row r="494" spans="2:8" x14ac:dyDescent="0.3">
      <c r="B494" s="268" t="s">
        <v>335</v>
      </c>
      <c r="C494" s="268" t="s">
        <v>336</v>
      </c>
      <c r="D494" s="268" t="s">
        <v>152</v>
      </c>
      <c r="E494" s="268" t="s">
        <v>217</v>
      </c>
      <c r="F494" s="268" t="s">
        <v>312</v>
      </c>
      <c r="G494">
        <v>82</v>
      </c>
      <c r="H494">
        <v>71203</v>
      </c>
    </row>
    <row r="495" spans="2:8" x14ac:dyDescent="0.3">
      <c r="B495" s="268" t="s">
        <v>335</v>
      </c>
      <c r="C495" s="268" t="s">
        <v>336</v>
      </c>
      <c r="D495" s="268" t="s">
        <v>152</v>
      </c>
      <c r="E495" s="268" t="s">
        <v>217</v>
      </c>
      <c r="F495" s="268" t="s">
        <v>313</v>
      </c>
      <c r="G495">
        <v>83</v>
      </c>
      <c r="H495">
        <v>64197</v>
      </c>
    </row>
    <row r="496" spans="2:8" x14ac:dyDescent="0.3">
      <c r="B496" s="268" t="s">
        <v>335</v>
      </c>
      <c r="C496" s="268" t="s">
        <v>336</v>
      </c>
      <c r="D496" s="268" t="s">
        <v>152</v>
      </c>
      <c r="E496" s="268" t="s">
        <v>217</v>
      </c>
      <c r="F496" s="268" t="s">
        <v>314</v>
      </c>
      <c r="G496">
        <v>84</v>
      </c>
      <c r="H496">
        <v>60420</v>
      </c>
    </row>
    <row r="497" spans="2:8" x14ac:dyDescent="0.3">
      <c r="B497" s="268" t="s">
        <v>335</v>
      </c>
      <c r="C497" s="268" t="s">
        <v>336</v>
      </c>
      <c r="D497" s="268" t="s">
        <v>152</v>
      </c>
      <c r="E497" s="268" t="s">
        <v>217</v>
      </c>
      <c r="F497" s="268" t="s">
        <v>315</v>
      </c>
      <c r="G497">
        <v>85</v>
      </c>
      <c r="H497">
        <v>55258</v>
      </c>
    </row>
    <row r="498" spans="2:8" x14ac:dyDescent="0.3">
      <c r="B498" s="268" t="s">
        <v>335</v>
      </c>
      <c r="C498" s="268" t="s">
        <v>336</v>
      </c>
      <c r="D498" s="268" t="s">
        <v>152</v>
      </c>
      <c r="E498" s="268" t="s">
        <v>217</v>
      </c>
      <c r="F498" s="268" t="s">
        <v>316</v>
      </c>
      <c r="G498">
        <v>86</v>
      </c>
      <c r="H498">
        <v>47923</v>
      </c>
    </row>
    <row r="499" spans="2:8" x14ac:dyDescent="0.3">
      <c r="B499" s="268" t="s">
        <v>335</v>
      </c>
      <c r="C499" s="268" t="s">
        <v>336</v>
      </c>
      <c r="D499" s="268" t="s">
        <v>152</v>
      </c>
      <c r="E499" s="268" t="s">
        <v>217</v>
      </c>
      <c r="F499" s="268" t="s">
        <v>317</v>
      </c>
      <c r="G499">
        <v>87</v>
      </c>
      <c r="H499">
        <v>43541</v>
      </c>
    </row>
    <row r="500" spans="2:8" x14ac:dyDescent="0.3">
      <c r="B500" s="268" t="s">
        <v>335</v>
      </c>
      <c r="C500" s="268" t="s">
        <v>336</v>
      </c>
      <c r="D500" s="268" t="s">
        <v>152</v>
      </c>
      <c r="E500" s="268" t="s">
        <v>217</v>
      </c>
      <c r="F500" s="268" t="s">
        <v>318</v>
      </c>
      <c r="G500">
        <v>88</v>
      </c>
      <c r="H500">
        <v>38017</v>
      </c>
    </row>
    <row r="501" spans="2:8" x14ac:dyDescent="0.3">
      <c r="B501" s="268" t="s">
        <v>335</v>
      </c>
      <c r="C501" s="268" t="s">
        <v>336</v>
      </c>
      <c r="D501" s="268" t="s">
        <v>152</v>
      </c>
      <c r="E501" s="268" t="s">
        <v>217</v>
      </c>
      <c r="F501" s="268" t="s">
        <v>319</v>
      </c>
      <c r="G501">
        <v>89</v>
      </c>
      <c r="H501">
        <v>33155</v>
      </c>
    </row>
    <row r="502" spans="2:8" x14ac:dyDescent="0.3">
      <c r="B502" s="268" t="s">
        <v>335</v>
      </c>
      <c r="C502" s="268" t="s">
        <v>336</v>
      </c>
      <c r="D502" s="268" t="s">
        <v>152</v>
      </c>
      <c r="E502" s="268" t="s">
        <v>217</v>
      </c>
      <c r="F502" s="268" t="s">
        <v>320</v>
      </c>
      <c r="G502">
        <v>90</v>
      </c>
      <c r="H502">
        <v>30467</v>
      </c>
    </row>
    <row r="503" spans="2:8" x14ac:dyDescent="0.3">
      <c r="B503" s="268" t="s">
        <v>335</v>
      </c>
      <c r="C503" s="268" t="s">
        <v>336</v>
      </c>
      <c r="D503" s="268" t="s">
        <v>152</v>
      </c>
      <c r="E503" s="268" t="s">
        <v>217</v>
      </c>
      <c r="F503" s="268" t="s">
        <v>321</v>
      </c>
      <c r="G503">
        <v>91</v>
      </c>
      <c r="H503">
        <v>25535</v>
      </c>
    </row>
    <row r="504" spans="2:8" x14ac:dyDescent="0.3">
      <c r="B504" s="268" t="s">
        <v>335</v>
      </c>
      <c r="C504" s="268" t="s">
        <v>336</v>
      </c>
      <c r="D504" s="268" t="s">
        <v>152</v>
      </c>
      <c r="E504" s="268" t="s">
        <v>217</v>
      </c>
      <c r="F504" s="268" t="s">
        <v>322</v>
      </c>
      <c r="G504">
        <v>92</v>
      </c>
      <c r="H504">
        <v>21987</v>
      </c>
    </row>
    <row r="505" spans="2:8" x14ac:dyDescent="0.3">
      <c r="B505" s="268" t="s">
        <v>335</v>
      </c>
      <c r="C505" s="268" t="s">
        <v>336</v>
      </c>
      <c r="D505" s="268" t="s">
        <v>152</v>
      </c>
      <c r="E505" s="268" t="s">
        <v>217</v>
      </c>
      <c r="F505" s="268" t="s">
        <v>323</v>
      </c>
      <c r="G505">
        <v>93</v>
      </c>
      <c r="H505">
        <v>18650</v>
      </c>
    </row>
    <row r="506" spans="2:8" x14ac:dyDescent="0.3">
      <c r="B506" s="268" t="s">
        <v>335</v>
      </c>
      <c r="C506" s="268" t="s">
        <v>336</v>
      </c>
      <c r="D506" s="268" t="s">
        <v>152</v>
      </c>
      <c r="E506" s="268" t="s">
        <v>217</v>
      </c>
      <c r="F506" s="268" t="s">
        <v>324</v>
      </c>
      <c r="G506">
        <v>94</v>
      </c>
      <c r="H506">
        <v>15617</v>
      </c>
    </row>
    <row r="507" spans="2:8" x14ac:dyDescent="0.3">
      <c r="B507" s="268" t="s">
        <v>335</v>
      </c>
      <c r="C507" s="268" t="s">
        <v>336</v>
      </c>
      <c r="D507" s="268" t="s">
        <v>152</v>
      </c>
      <c r="E507" s="268" t="s">
        <v>217</v>
      </c>
      <c r="F507" s="268" t="s">
        <v>325</v>
      </c>
      <c r="G507">
        <v>95</v>
      </c>
      <c r="H507">
        <v>12813</v>
      </c>
    </row>
    <row r="508" spans="2:8" x14ac:dyDescent="0.3">
      <c r="B508" s="268" t="s">
        <v>335</v>
      </c>
      <c r="C508" s="268" t="s">
        <v>336</v>
      </c>
      <c r="D508" s="268" t="s">
        <v>152</v>
      </c>
      <c r="E508" s="268" t="s">
        <v>217</v>
      </c>
      <c r="F508" s="268" t="s">
        <v>326</v>
      </c>
      <c r="G508">
        <v>96</v>
      </c>
      <c r="H508">
        <v>10023</v>
      </c>
    </row>
    <row r="509" spans="2:8" x14ac:dyDescent="0.3">
      <c r="B509" s="268" t="s">
        <v>335</v>
      </c>
      <c r="C509" s="268" t="s">
        <v>336</v>
      </c>
      <c r="D509" s="268" t="s">
        <v>152</v>
      </c>
      <c r="E509" s="268" t="s">
        <v>217</v>
      </c>
      <c r="F509" s="268" t="s">
        <v>327</v>
      </c>
      <c r="G509">
        <v>97</v>
      </c>
      <c r="H509">
        <v>7859</v>
      </c>
    </row>
    <row r="510" spans="2:8" x14ac:dyDescent="0.3">
      <c r="B510" s="268" t="s">
        <v>335</v>
      </c>
      <c r="C510" s="268" t="s">
        <v>336</v>
      </c>
      <c r="D510" s="268" t="s">
        <v>152</v>
      </c>
      <c r="E510" s="268" t="s">
        <v>217</v>
      </c>
      <c r="F510" s="268" t="s">
        <v>328</v>
      </c>
      <c r="G510">
        <v>98</v>
      </c>
      <c r="H510">
        <v>5995</v>
      </c>
    </row>
    <row r="511" spans="2:8" x14ac:dyDescent="0.3">
      <c r="B511" s="268" t="s">
        <v>335</v>
      </c>
      <c r="C511" s="268" t="s">
        <v>336</v>
      </c>
      <c r="D511" s="268" t="s">
        <v>152</v>
      </c>
      <c r="E511" s="268" t="s">
        <v>217</v>
      </c>
      <c r="F511" s="268" t="s">
        <v>329</v>
      </c>
      <c r="G511">
        <v>99</v>
      </c>
      <c r="H511">
        <v>4454</v>
      </c>
    </row>
    <row r="512" spans="2:8" x14ac:dyDescent="0.3">
      <c r="B512" s="268" t="s">
        <v>335</v>
      </c>
      <c r="C512" s="268" t="s">
        <v>336</v>
      </c>
      <c r="D512" s="268" t="s">
        <v>152</v>
      </c>
      <c r="E512" s="268" t="s">
        <v>217</v>
      </c>
      <c r="F512" s="268" t="s">
        <v>330</v>
      </c>
      <c r="G512" t="s">
        <v>331</v>
      </c>
      <c r="H512">
        <v>7617</v>
      </c>
    </row>
    <row r="513" spans="1:8" x14ac:dyDescent="0.3">
      <c r="A513" s="268" t="s">
        <v>70</v>
      </c>
      <c r="B513" s="268" t="s">
        <v>335</v>
      </c>
      <c r="C513" s="268" t="s">
        <v>336</v>
      </c>
      <c r="D513" s="268" t="s">
        <v>152</v>
      </c>
      <c r="E513" s="268" t="s">
        <v>217</v>
      </c>
      <c r="H513">
        <v>23222363</v>
      </c>
    </row>
    <row r="514" spans="1:8" x14ac:dyDescent="0.3">
      <c r="B514" s="268" t="s">
        <v>335</v>
      </c>
      <c r="C514" s="268" t="s">
        <v>336</v>
      </c>
      <c r="D514" s="268" t="s">
        <v>151</v>
      </c>
      <c r="E514" s="268" t="s">
        <v>332</v>
      </c>
      <c r="F514" s="268" t="s">
        <v>218</v>
      </c>
      <c r="G514">
        <v>0</v>
      </c>
      <c r="H514">
        <v>315206</v>
      </c>
    </row>
    <row r="515" spans="1:8" x14ac:dyDescent="0.3">
      <c r="B515" s="268" t="s">
        <v>335</v>
      </c>
      <c r="C515" s="268" t="s">
        <v>336</v>
      </c>
      <c r="D515" s="268" t="s">
        <v>151</v>
      </c>
      <c r="E515" s="268" t="s">
        <v>332</v>
      </c>
      <c r="F515" s="268" t="s">
        <v>220</v>
      </c>
      <c r="G515">
        <v>1</v>
      </c>
      <c r="H515">
        <v>313386</v>
      </c>
    </row>
    <row r="516" spans="1:8" x14ac:dyDescent="0.3">
      <c r="B516" s="268" t="s">
        <v>335</v>
      </c>
      <c r="C516" s="268" t="s">
        <v>336</v>
      </c>
      <c r="D516" s="268" t="s">
        <v>151</v>
      </c>
      <c r="E516" s="268" t="s">
        <v>332</v>
      </c>
      <c r="F516" s="268" t="s">
        <v>221</v>
      </c>
      <c r="G516">
        <v>2</v>
      </c>
      <c r="H516">
        <v>311378</v>
      </c>
    </row>
    <row r="517" spans="1:8" x14ac:dyDescent="0.3">
      <c r="B517" s="268" t="s">
        <v>335</v>
      </c>
      <c r="C517" s="268" t="s">
        <v>336</v>
      </c>
      <c r="D517" s="268" t="s">
        <v>151</v>
      </c>
      <c r="E517" s="268" t="s">
        <v>332</v>
      </c>
      <c r="F517" s="268" t="s">
        <v>223</v>
      </c>
      <c r="G517">
        <v>3</v>
      </c>
      <c r="H517">
        <v>309019</v>
      </c>
    </row>
    <row r="518" spans="1:8" x14ac:dyDescent="0.3">
      <c r="B518" s="268" t="s">
        <v>335</v>
      </c>
      <c r="C518" s="268" t="s">
        <v>336</v>
      </c>
      <c r="D518" s="268" t="s">
        <v>151</v>
      </c>
      <c r="E518" s="268" t="s">
        <v>332</v>
      </c>
      <c r="F518" s="268" t="s">
        <v>225</v>
      </c>
      <c r="G518">
        <v>4</v>
      </c>
      <c r="H518">
        <v>306379</v>
      </c>
    </row>
    <row r="519" spans="1:8" x14ac:dyDescent="0.3">
      <c r="B519" s="268" t="s">
        <v>335</v>
      </c>
      <c r="C519" s="268" t="s">
        <v>336</v>
      </c>
      <c r="D519" s="268" t="s">
        <v>151</v>
      </c>
      <c r="E519" s="268" t="s">
        <v>332</v>
      </c>
      <c r="F519" s="268" t="s">
        <v>226</v>
      </c>
      <c r="G519">
        <v>5</v>
      </c>
      <c r="H519">
        <v>303605</v>
      </c>
    </row>
    <row r="520" spans="1:8" x14ac:dyDescent="0.3">
      <c r="B520" s="268" t="s">
        <v>335</v>
      </c>
      <c r="C520" s="268" t="s">
        <v>336</v>
      </c>
      <c r="D520" s="268" t="s">
        <v>151</v>
      </c>
      <c r="E520" s="268" t="s">
        <v>332</v>
      </c>
      <c r="F520" s="268" t="s">
        <v>227</v>
      </c>
      <c r="G520">
        <v>6</v>
      </c>
      <c r="H520">
        <v>300661</v>
      </c>
    </row>
    <row r="521" spans="1:8" x14ac:dyDescent="0.3">
      <c r="B521" s="268" t="s">
        <v>335</v>
      </c>
      <c r="C521" s="268" t="s">
        <v>336</v>
      </c>
      <c r="D521" s="268" t="s">
        <v>151</v>
      </c>
      <c r="E521" s="268" t="s">
        <v>332</v>
      </c>
      <c r="F521" s="268" t="s">
        <v>229</v>
      </c>
      <c r="G521">
        <v>7</v>
      </c>
      <c r="H521">
        <v>310675</v>
      </c>
    </row>
    <row r="522" spans="1:8" x14ac:dyDescent="0.3">
      <c r="B522" s="268" t="s">
        <v>335</v>
      </c>
      <c r="C522" s="268" t="s">
        <v>336</v>
      </c>
      <c r="D522" s="268" t="s">
        <v>151</v>
      </c>
      <c r="E522" s="268" t="s">
        <v>332</v>
      </c>
      <c r="F522" s="268" t="s">
        <v>230</v>
      </c>
      <c r="G522">
        <v>8</v>
      </c>
      <c r="H522">
        <v>312327</v>
      </c>
    </row>
    <row r="523" spans="1:8" x14ac:dyDescent="0.3">
      <c r="B523" s="268" t="s">
        <v>335</v>
      </c>
      <c r="C523" s="268" t="s">
        <v>336</v>
      </c>
      <c r="D523" s="268" t="s">
        <v>151</v>
      </c>
      <c r="E523" s="268" t="s">
        <v>332</v>
      </c>
      <c r="F523" s="268" t="s">
        <v>231</v>
      </c>
      <c r="G523">
        <v>9</v>
      </c>
      <c r="H523">
        <v>311466</v>
      </c>
    </row>
    <row r="524" spans="1:8" x14ac:dyDescent="0.3">
      <c r="B524" s="268" t="s">
        <v>335</v>
      </c>
      <c r="C524" s="268" t="s">
        <v>336</v>
      </c>
      <c r="D524" s="268" t="s">
        <v>151</v>
      </c>
      <c r="E524" s="268" t="s">
        <v>332</v>
      </c>
      <c r="F524" s="268" t="s">
        <v>233</v>
      </c>
      <c r="G524">
        <v>10</v>
      </c>
      <c r="H524">
        <v>309273</v>
      </c>
    </row>
    <row r="525" spans="1:8" x14ac:dyDescent="0.3">
      <c r="B525" s="268" t="s">
        <v>335</v>
      </c>
      <c r="C525" s="268" t="s">
        <v>336</v>
      </c>
      <c r="D525" s="268" t="s">
        <v>151</v>
      </c>
      <c r="E525" s="268" t="s">
        <v>332</v>
      </c>
      <c r="F525" s="268" t="s">
        <v>234</v>
      </c>
      <c r="G525">
        <v>11</v>
      </c>
      <c r="H525">
        <v>311539</v>
      </c>
    </row>
    <row r="526" spans="1:8" x14ac:dyDescent="0.3">
      <c r="B526" s="268" t="s">
        <v>335</v>
      </c>
      <c r="C526" s="268" t="s">
        <v>336</v>
      </c>
      <c r="D526" s="268" t="s">
        <v>151</v>
      </c>
      <c r="E526" s="268" t="s">
        <v>332</v>
      </c>
      <c r="F526" s="268" t="s">
        <v>235</v>
      </c>
      <c r="G526">
        <v>12</v>
      </c>
      <c r="H526">
        <v>321624</v>
      </c>
    </row>
    <row r="527" spans="1:8" x14ac:dyDescent="0.3">
      <c r="B527" s="268" t="s">
        <v>335</v>
      </c>
      <c r="C527" s="268" t="s">
        <v>336</v>
      </c>
      <c r="D527" s="268" t="s">
        <v>151</v>
      </c>
      <c r="E527" s="268" t="s">
        <v>332</v>
      </c>
      <c r="F527" s="268" t="s">
        <v>237</v>
      </c>
      <c r="G527">
        <v>13</v>
      </c>
      <c r="H527">
        <v>322920</v>
      </c>
    </row>
    <row r="528" spans="1:8" x14ac:dyDescent="0.3">
      <c r="B528" s="268" t="s">
        <v>335</v>
      </c>
      <c r="C528" s="268" t="s">
        <v>336</v>
      </c>
      <c r="D528" s="268" t="s">
        <v>151</v>
      </c>
      <c r="E528" s="268" t="s">
        <v>332</v>
      </c>
      <c r="F528" s="268" t="s">
        <v>239</v>
      </c>
      <c r="G528">
        <v>14</v>
      </c>
      <c r="H528">
        <v>314049</v>
      </c>
    </row>
    <row r="529" spans="2:8" x14ac:dyDescent="0.3">
      <c r="B529" s="268" t="s">
        <v>335</v>
      </c>
      <c r="C529" s="268" t="s">
        <v>336</v>
      </c>
      <c r="D529" s="268" t="s">
        <v>151</v>
      </c>
      <c r="E529" s="268" t="s">
        <v>332</v>
      </c>
      <c r="F529" s="268" t="s">
        <v>241</v>
      </c>
      <c r="G529">
        <v>15</v>
      </c>
      <c r="H529">
        <v>310849</v>
      </c>
    </row>
    <row r="530" spans="2:8" x14ac:dyDescent="0.3">
      <c r="B530" s="268" t="s">
        <v>335</v>
      </c>
      <c r="C530" s="268" t="s">
        <v>336</v>
      </c>
      <c r="D530" s="268" t="s">
        <v>151</v>
      </c>
      <c r="E530" s="268" t="s">
        <v>332</v>
      </c>
      <c r="F530" s="268" t="s">
        <v>243</v>
      </c>
      <c r="G530">
        <v>16</v>
      </c>
      <c r="H530">
        <v>308724</v>
      </c>
    </row>
    <row r="531" spans="2:8" x14ac:dyDescent="0.3">
      <c r="B531" s="268" t="s">
        <v>335</v>
      </c>
      <c r="C531" s="268" t="s">
        <v>336</v>
      </c>
      <c r="D531" s="268" t="s">
        <v>151</v>
      </c>
      <c r="E531" s="268" t="s">
        <v>332</v>
      </c>
      <c r="F531" s="268" t="s">
        <v>245</v>
      </c>
      <c r="G531">
        <v>17</v>
      </c>
      <c r="H531">
        <v>307364</v>
      </c>
    </row>
    <row r="532" spans="2:8" x14ac:dyDescent="0.3">
      <c r="B532" s="268" t="s">
        <v>335</v>
      </c>
      <c r="C532" s="268" t="s">
        <v>336</v>
      </c>
      <c r="D532" s="268" t="s">
        <v>151</v>
      </c>
      <c r="E532" s="268" t="s">
        <v>332</v>
      </c>
      <c r="F532" s="268" t="s">
        <v>247</v>
      </c>
      <c r="G532">
        <v>18</v>
      </c>
      <c r="H532">
        <v>313494</v>
      </c>
    </row>
    <row r="533" spans="2:8" x14ac:dyDescent="0.3">
      <c r="B533" s="268" t="s">
        <v>335</v>
      </c>
      <c r="C533" s="268" t="s">
        <v>336</v>
      </c>
      <c r="D533" s="268" t="s">
        <v>151</v>
      </c>
      <c r="E533" s="268" t="s">
        <v>332</v>
      </c>
      <c r="F533" s="268" t="s">
        <v>249</v>
      </c>
      <c r="G533">
        <v>19</v>
      </c>
      <c r="H533">
        <v>325790</v>
      </c>
    </row>
    <row r="534" spans="2:8" x14ac:dyDescent="0.3">
      <c r="B534" s="268" t="s">
        <v>335</v>
      </c>
      <c r="C534" s="268" t="s">
        <v>336</v>
      </c>
      <c r="D534" s="268" t="s">
        <v>151</v>
      </c>
      <c r="E534" s="268" t="s">
        <v>332</v>
      </c>
      <c r="F534" s="268" t="s">
        <v>250</v>
      </c>
      <c r="G534">
        <v>20</v>
      </c>
      <c r="H534">
        <v>336743</v>
      </c>
    </row>
    <row r="535" spans="2:8" x14ac:dyDescent="0.3">
      <c r="B535" s="268" t="s">
        <v>335</v>
      </c>
      <c r="C535" s="268" t="s">
        <v>336</v>
      </c>
      <c r="D535" s="268" t="s">
        <v>151</v>
      </c>
      <c r="E535" s="268" t="s">
        <v>332</v>
      </c>
      <c r="F535" s="268" t="s">
        <v>251</v>
      </c>
      <c r="G535">
        <v>21</v>
      </c>
      <c r="H535">
        <v>330232</v>
      </c>
    </row>
    <row r="536" spans="2:8" x14ac:dyDescent="0.3">
      <c r="B536" s="268" t="s">
        <v>335</v>
      </c>
      <c r="C536" s="268" t="s">
        <v>336</v>
      </c>
      <c r="D536" s="268" t="s">
        <v>151</v>
      </c>
      <c r="E536" s="268" t="s">
        <v>332</v>
      </c>
      <c r="F536" s="268" t="s">
        <v>252</v>
      </c>
      <c r="G536">
        <v>22</v>
      </c>
      <c r="H536">
        <v>333020</v>
      </c>
    </row>
    <row r="537" spans="2:8" x14ac:dyDescent="0.3">
      <c r="B537" s="268" t="s">
        <v>335</v>
      </c>
      <c r="C537" s="268" t="s">
        <v>336</v>
      </c>
      <c r="D537" s="268" t="s">
        <v>151</v>
      </c>
      <c r="E537" s="268" t="s">
        <v>332</v>
      </c>
      <c r="F537" s="268" t="s">
        <v>253</v>
      </c>
      <c r="G537">
        <v>23</v>
      </c>
      <c r="H537">
        <v>333308</v>
      </c>
    </row>
    <row r="538" spans="2:8" x14ac:dyDescent="0.3">
      <c r="B538" s="268" t="s">
        <v>335</v>
      </c>
      <c r="C538" s="268" t="s">
        <v>336</v>
      </c>
      <c r="D538" s="268" t="s">
        <v>151</v>
      </c>
      <c r="E538" s="268" t="s">
        <v>332</v>
      </c>
      <c r="F538" s="268" t="s">
        <v>254</v>
      </c>
      <c r="G538">
        <v>24</v>
      </c>
      <c r="H538">
        <v>334484</v>
      </c>
    </row>
    <row r="539" spans="2:8" x14ac:dyDescent="0.3">
      <c r="B539" s="268" t="s">
        <v>335</v>
      </c>
      <c r="C539" s="268" t="s">
        <v>336</v>
      </c>
      <c r="D539" s="268" t="s">
        <v>151</v>
      </c>
      <c r="E539" s="268" t="s">
        <v>332</v>
      </c>
      <c r="F539" s="268" t="s">
        <v>255</v>
      </c>
      <c r="G539">
        <v>25</v>
      </c>
      <c r="H539">
        <v>352465</v>
      </c>
    </row>
    <row r="540" spans="2:8" x14ac:dyDescent="0.3">
      <c r="B540" s="268" t="s">
        <v>335</v>
      </c>
      <c r="C540" s="268" t="s">
        <v>336</v>
      </c>
      <c r="D540" s="268" t="s">
        <v>151</v>
      </c>
      <c r="E540" s="268" t="s">
        <v>332</v>
      </c>
      <c r="F540" s="268" t="s">
        <v>256</v>
      </c>
      <c r="G540">
        <v>26</v>
      </c>
      <c r="H540">
        <v>369028</v>
      </c>
    </row>
    <row r="541" spans="2:8" x14ac:dyDescent="0.3">
      <c r="B541" s="268" t="s">
        <v>335</v>
      </c>
      <c r="C541" s="268" t="s">
        <v>336</v>
      </c>
      <c r="D541" s="268" t="s">
        <v>151</v>
      </c>
      <c r="E541" s="268" t="s">
        <v>332</v>
      </c>
      <c r="F541" s="268" t="s">
        <v>257</v>
      </c>
      <c r="G541">
        <v>27</v>
      </c>
      <c r="H541">
        <v>380714</v>
      </c>
    </row>
    <row r="542" spans="2:8" x14ac:dyDescent="0.3">
      <c r="B542" s="268" t="s">
        <v>335</v>
      </c>
      <c r="C542" s="268" t="s">
        <v>336</v>
      </c>
      <c r="D542" s="268" t="s">
        <v>151</v>
      </c>
      <c r="E542" s="268" t="s">
        <v>332</v>
      </c>
      <c r="F542" s="268" t="s">
        <v>258</v>
      </c>
      <c r="G542">
        <v>28</v>
      </c>
      <c r="H542">
        <v>386458</v>
      </c>
    </row>
    <row r="543" spans="2:8" x14ac:dyDescent="0.3">
      <c r="B543" s="268" t="s">
        <v>335</v>
      </c>
      <c r="C543" s="268" t="s">
        <v>336</v>
      </c>
      <c r="D543" s="268" t="s">
        <v>151</v>
      </c>
      <c r="E543" s="268" t="s">
        <v>332</v>
      </c>
      <c r="F543" s="268" t="s">
        <v>259</v>
      </c>
      <c r="G543">
        <v>29</v>
      </c>
      <c r="H543">
        <v>387191</v>
      </c>
    </row>
    <row r="544" spans="2:8" x14ac:dyDescent="0.3">
      <c r="B544" s="268" t="s">
        <v>335</v>
      </c>
      <c r="C544" s="268" t="s">
        <v>336</v>
      </c>
      <c r="D544" s="268" t="s">
        <v>151</v>
      </c>
      <c r="E544" s="268" t="s">
        <v>332</v>
      </c>
      <c r="F544" s="268" t="s">
        <v>260</v>
      </c>
      <c r="G544">
        <v>30</v>
      </c>
      <c r="H544">
        <v>377675</v>
      </c>
    </row>
    <row r="545" spans="2:8" x14ac:dyDescent="0.3">
      <c r="B545" s="268" t="s">
        <v>335</v>
      </c>
      <c r="C545" s="268" t="s">
        <v>336</v>
      </c>
      <c r="D545" s="268" t="s">
        <v>151</v>
      </c>
      <c r="E545" s="268" t="s">
        <v>332</v>
      </c>
      <c r="F545" s="268" t="s">
        <v>261</v>
      </c>
      <c r="G545">
        <v>31</v>
      </c>
      <c r="H545">
        <v>351141</v>
      </c>
    </row>
    <row r="546" spans="2:8" x14ac:dyDescent="0.3">
      <c r="B546" s="268" t="s">
        <v>335</v>
      </c>
      <c r="C546" s="268" t="s">
        <v>336</v>
      </c>
      <c r="D546" s="268" t="s">
        <v>151</v>
      </c>
      <c r="E546" s="268" t="s">
        <v>332</v>
      </c>
      <c r="F546" s="268" t="s">
        <v>262</v>
      </c>
      <c r="G546">
        <v>32</v>
      </c>
      <c r="H546">
        <v>327526</v>
      </c>
    </row>
    <row r="547" spans="2:8" x14ac:dyDescent="0.3">
      <c r="B547" s="268" t="s">
        <v>335</v>
      </c>
      <c r="C547" s="268" t="s">
        <v>336</v>
      </c>
      <c r="D547" s="268" t="s">
        <v>151</v>
      </c>
      <c r="E547" s="268" t="s">
        <v>332</v>
      </c>
      <c r="F547" s="268" t="s">
        <v>263</v>
      </c>
      <c r="G547">
        <v>33</v>
      </c>
      <c r="H547">
        <v>312355</v>
      </c>
    </row>
    <row r="548" spans="2:8" x14ac:dyDescent="0.3">
      <c r="B548" s="268" t="s">
        <v>335</v>
      </c>
      <c r="C548" s="268" t="s">
        <v>336</v>
      </c>
      <c r="D548" s="268" t="s">
        <v>151</v>
      </c>
      <c r="E548" s="268" t="s">
        <v>332</v>
      </c>
      <c r="F548" s="268" t="s">
        <v>264</v>
      </c>
      <c r="G548">
        <v>34</v>
      </c>
      <c r="H548">
        <v>304338</v>
      </c>
    </row>
    <row r="549" spans="2:8" x14ac:dyDescent="0.3">
      <c r="B549" s="268" t="s">
        <v>335</v>
      </c>
      <c r="C549" s="268" t="s">
        <v>336</v>
      </c>
      <c r="D549" s="268" t="s">
        <v>151</v>
      </c>
      <c r="E549" s="268" t="s">
        <v>332</v>
      </c>
      <c r="F549" s="268" t="s">
        <v>265</v>
      </c>
      <c r="G549">
        <v>35</v>
      </c>
      <c r="H549">
        <v>300860</v>
      </c>
    </row>
    <row r="550" spans="2:8" x14ac:dyDescent="0.3">
      <c r="B550" s="268" t="s">
        <v>335</v>
      </c>
      <c r="C550" s="268" t="s">
        <v>336</v>
      </c>
      <c r="D550" s="268" t="s">
        <v>151</v>
      </c>
      <c r="E550" s="268" t="s">
        <v>332</v>
      </c>
      <c r="F550" s="268" t="s">
        <v>266</v>
      </c>
      <c r="G550">
        <v>36</v>
      </c>
      <c r="H550">
        <v>284914</v>
      </c>
    </row>
    <row r="551" spans="2:8" x14ac:dyDescent="0.3">
      <c r="B551" s="268" t="s">
        <v>335</v>
      </c>
      <c r="C551" s="268" t="s">
        <v>336</v>
      </c>
      <c r="D551" s="268" t="s">
        <v>151</v>
      </c>
      <c r="E551" s="268" t="s">
        <v>332</v>
      </c>
      <c r="F551" s="268" t="s">
        <v>267</v>
      </c>
      <c r="G551">
        <v>37</v>
      </c>
      <c r="H551">
        <v>286243</v>
      </c>
    </row>
    <row r="552" spans="2:8" x14ac:dyDescent="0.3">
      <c r="B552" s="268" t="s">
        <v>335</v>
      </c>
      <c r="C552" s="268" t="s">
        <v>336</v>
      </c>
      <c r="D552" s="268" t="s">
        <v>151</v>
      </c>
      <c r="E552" s="268" t="s">
        <v>332</v>
      </c>
      <c r="F552" s="268" t="s">
        <v>268</v>
      </c>
      <c r="G552">
        <v>38</v>
      </c>
      <c r="H552">
        <v>284284</v>
      </c>
    </row>
    <row r="553" spans="2:8" x14ac:dyDescent="0.3">
      <c r="B553" s="268" t="s">
        <v>335</v>
      </c>
      <c r="C553" s="268" t="s">
        <v>336</v>
      </c>
      <c r="D553" s="268" t="s">
        <v>151</v>
      </c>
      <c r="E553" s="268" t="s">
        <v>332</v>
      </c>
      <c r="F553" s="268" t="s">
        <v>269</v>
      </c>
      <c r="G553">
        <v>39</v>
      </c>
      <c r="H553">
        <v>280152</v>
      </c>
    </row>
    <row r="554" spans="2:8" x14ac:dyDescent="0.3">
      <c r="B554" s="268" t="s">
        <v>335</v>
      </c>
      <c r="C554" s="268" t="s">
        <v>336</v>
      </c>
      <c r="D554" s="268" t="s">
        <v>151</v>
      </c>
      <c r="E554" s="268" t="s">
        <v>332</v>
      </c>
      <c r="F554" s="268" t="s">
        <v>270</v>
      </c>
      <c r="G554">
        <v>40</v>
      </c>
      <c r="H554">
        <v>292491</v>
      </c>
    </row>
    <row r="555" spans="2:8" x14ac:dyDescent="0.3">
      <c r="B555" s="268" t="s">
        <v>335</v>
      </c>
      <c r="C555" s="268" t="s">
        <v>336</v>
      </c>
      <c r="D555" s="268" t="s">
        <v>151</v>
      </c>
      <c r="E555" s="268" t="s">
        <v>332</v>
      </c>
      <c r="F555" s="268" t="s">
        <v>271</v>
      </c>
      <c r="G555">
        <v>41</v>
      </c>
      <c r="H555">
        <v>270369</v>
      </c>
    </row>
    <row r="556" spans="2:8" x14ac:dyDescent="0.3">
      <c r="B556" s="268" t="s">
        <v>335</v>
      </c>
      <c r="C556" s="268" t="s">
        <v>336</v>
      </c>
      <c r="D556" s="268" t="s">
        <v>151</v>
      </c>
      <c r="E556" s="268" t="s">
        <v>332</v>
      </c>
      <c r="F556" s="268" t="s">
        <v>272</v>
      </c>
      <c r="G556">
        <v>42</v>
      </c>
      <c r="H556">
        <v>259822</v>
      </c>
    </row>
    <row r="557" spans="2:8" x14ac:dyDescent="0.3">
      <c r="B557" s="268" t="s">
        <v>335</v>
      </c>
      <c r="C557" s="268" t="s">
        <v>336</v>
      </c>
      <c r="D557" s="268" t="s">
        <v>151</v>
      </c>
      <c r="E557" s="268" t="s">
        <v>332</v>
      </c>
      <c r="F557" s="268" t="s">
        <v>273</v>
      </c>
      <c r="G557">
        <v>43</v>
      </c>
      <c r="H557">
        <v>254861</v>
      </c>
    </row>
    <row r="558" spans="2:8" x14ac:dyDescent="0.3">
      <c r="B558" s="268" t="s">
        <v>335</v>
      </c>
      <c r="C558" s="268" t="s">
        <v>336</v>
      </c>
      <c r="D558" s="268" t="s">
        <v>151</v>
      </c>
      <c r="E558" s="268" t="s">
        <v>332</v>
      </c>
      <c r="F558" s="268" t="s">
        <v>274</v>
      </c>
      <c r="G558">
        <v>44</v>
      </c>
      <c r="H558">
        <v>244357</v>
      </c>
    </row>
    <row r="559" spans="2:8" x14ac:dyDescent="0.3">
      <c r="B559" s="268" t="s">
        <v>335</v>
      </c>
      <c r="C559" s="268" t="s">
        <v>336</v>
      </c>
      <c r="D559" s="268" t="s">
        <v>151</v>
      </c>
      <c r="E559" s="268" t="s">
        <v>332</v>
      </c>
      <c r="F559" s="268" t="s">
        <v>275</v>
      </c>
      <c r="G559">
        <v>45</v>
      </c>
      <c r="H559">
        <v>250358</v>
      </c>
    </row>
    <row r="560" spans="2:8" x14ac:dyDescent="0.3">
      <c r="B560" s="268" t="s">
        <v>335</v>
      </c>
      <c r="C560" s="268" t="s">
        <v>336</v>
      </c>
      <c r="D560" s="268" t="s">
        <v>151</v>
      </c>
      <c r="E560" s="268" t="s">
        <v>332</v>
      </c>
      <c r="F560" s="268" t="s">
        <v>276</v>
      </c>
      <c r="G560">
        <v>46</v>
      </c>
      <c r="H560">
        <v>239738</v>
      </c>
    </row>
    <row r="561" spans="2:8" x14ac:dyDescent="0.3">
      <c r="B561" s="268" t="s">
        <v>335</v>
      </c>
      <c r="C561" s="268" t="s">
        <v>336</v>
      </c>
      <c r="D561" s="268" t="s">
        <v>151</v>
      </c>
      <c r="E561" s="268" t="s">
        <v>332</v>
      </c>
      <c r="F561" s="268" t="s">
        <v>277</v>
      </c>
      <c r="G561">
        <v>47</v>
      </c>
      <c r="H561">
        <v>246266</v>
      </c>
    </row>
    <row r="562" spans="2:8" x14ac:dyDescent="0.3">
      <c r="B562" s="268" t="s">
        <v>335</v>
      </c>
      <c r="C562" s="268" t="s">
        <v>336</v>
      </c>
      <c r="D562" s="268" t="s">
        <v>151</v>
      </c>
      <c r="E562" s="268" t="s">
        <v>332</v>
      </c>
      <c r="F562" s="268" t="s">
        <v>278</v>
      </c>
      <c r="G562">
        <v>48</v>
      </c>
      <c r="H562">
        <v>254705</v>
      </c>
    </row>
    <row r="563" spans="2:8" x14ac:dyDescent="0.3">
      <c r="B563" s="268" t="s">
        <v>335</v>
      </c>
      <c r="C563" s="268" t="s">
        <v>336</v>
      </c>
      <c r="D563" s="268" t="s">
        <v>151</v>
      </c>
      <c r="E563" s="268" t="s">
        <v>332</v>
      </c>
      <c r="F563" s="268" t="s">
        <v>279</v>
      </c>
      <c r="G563">
        <v>49</v>
      </c>
      <c r="H563">
        <v>263909</v>
      </c>
    </row>
    <row r="564" spans="2:8" x14ac:dyDescent="0.3">
      <c r="B564" s="268" t="s">
        <v>335</v>
      </c>
      <c r="C564" s="268" t="s">
        <v>336</v>
      </c>
      <c r="D564" s="268" t="s">
        <v>151</v>
      </c>
      <c r="E564" s="268" t="s">
        <v>332</v>
      </c>
      <c r="F564" s="268" t="s">
        <v>280</v>
      </c>
      <c r="G564">
        <v>50</v>
      </c>
      <c r="H564">
        <v>266078</v>
      </c>
    </row>
    <row r="565" spans="2:8" x14ac:dyDescent="0.3">
      <c r="B565" s="268" t="s">
        <v>335</v>
      </c>
      <c r="C565" s="268" t="s">
        <v>336</v>
      </c>
      <c r="D565" s="268" t="s">
        <v>151</v>
      </c>
      <c r="E565" s="268" t="s">
        <v>332</v>
      </c>
      <c r="F565" s="268" t="s">
        <v>281</v>
      </c>
      <c r="G565">
        <v>51</v>
      </c>
      <c r="H565">
        <v>245769</v>
      </c>
    </row>
    <row r="566" spans="2:8" x14ac:dyDescent="0.3">
      <c r="B566" s="268" t="s">
        <v>335</v>
      </c>
      <c r="C566" s="268" t="s">
        <v>336</v>
      </c>
      <c r="D566" s="268" t="s">
        <v>151</v>
      </c>
      <c r="E566" s="268" t="s">
        <v>332</v>
      </c>
      <c r="F566" s="268" t="s">
        <v>282</v>
      </c>
      <c r="G566">
        <v>52</v>
      </c>
      <c r="H566">
        <v>245749</v>
      </c>
    </row>
    <row r="567" spans="2:8" x14ac:dyDescent="0.3">
      <c r="B567" s="268" t="s">
        <v>335</v>
      </c>
      <c r="C567" s="268" t="s">
        <v>336</v>
      </c>
      <c r="D567" s="268" t="s">
        <v>151</v>
      </c>
      <c r="E567" s="268" t="s">
        <v>332</v>
      </c>
      <c r="F567" s="268" t="s">
        <v>283</v>
      </c>
      <c r="G567">
        <v>53</v>
      </c>
      <c r="H567">
        <v>242871</v>
      </c>
    </row>
    <row r="568" spans="2:8" x14ac:dyDescent="0.3">
      <c r="B568" s="268" t="s">
        <v>335</v>
      </c>
      <c r="C568" s="268" t="s">
        <v>336</v>
      </c>
      <c r="D568" s="268" t="s">
        <v>151</v>
      </c>
      <c r="E568" s="268" t="s">
        <v>332</v>
      </c>
      <c r="F568" s="268" t="s">
        <v>284</v>
      </c>
      <c r="G568">
        <v>54</v>
      </c>
      <c r="H568">
        <v>251314</v>
      </c>
    </row>
    <row r="569" spans="2:8" x14ac:dyDescent="0.3">
      <c r="B569" s="268" t="s">
        <v>335</v>
      </c>
      <c r="C569" s="268" t="s">
        <v>336</v>
      </c>
      <c r="D569" s="268" t="s">
        <v>151</v>
      </c>
      <c r="E569" s="268" t="s">
        <v>332</v>
      </c>
      <c r="F569" s="268" t="s">
        <v>285</v>
      </c>
      <c r="G569">
        <v>55</v>
      </c>
      <c r="H569">
        <v>262358</v>
      </c>
    </row>
    <row r="570" spans="2:8" x14ac:dyDescent="0.3">
      <c r="B570" s="268" t="s">
        <v>335</v>
      </c>
      <c r="C570" s="268" t="s">
        <v>336</v>
      </c>
      <c r="D570" s="268" t="s">
        <v>151</v>
      </c>
      <c r="E570" s="268" t="s">
        <v>332</v>
      </c>
      <c r="F570" s="268" t="s">
        <v>286</v>
      </c>
      <c r="G570">
        <v>56</v>
      </c>
      <c r="H570">
        <v>258053</v>
      </c>
    </row>
    <row r="571" spans="2:8" x14ac:dyDescent="0.3">
      <c r="B571" s="268" t="s">
        <v>335</v>
      </c>
      <c r="C571" s="268" t="s">
        <v>336</v>
      </c>
      <c r="D571" s="268" t="s">
        <v>151</v>
      </c>
      <c r="E571" s="268" t="s">
        <v>332</v>
      </c>
      <c r="F571" s="268" t="s">
        <v>287</v>
      </c>
      <c r="G571">
        <v>57</v>
      </c>
      <c r="H571">
        <v>252728</v>
      </c>
    </row>
    <row r="572" spans="2:8" x14ac:dyDescent="0.3">
      <c r="B572" s="268" t="s">
        <v>335</v>
      </c>
      <c r="C572" s="268" t="s">
        <v>336</v>
      </c>
      <c r="D572" s="268" t="s">
        <v>151</v>
      </c>
      <c r="E572" s="268" t="s">
        <v>332</v>
      </c>
      <c r="F572" s="268" t="s">
        <v>288</v>
      </c>
      <c r="G572">
        <v>58</v>
      </c>
      <c r="H572">
        <v>247793</v>
      </c>
    </row>
    <row r="573" spans="2:8" x14ac:dyDescent="0.3">
      <c r="B573" s="268" t="s">
        <v>335</v>
      </c>
      <c r="C573" s="268" t="s">
        <v>336</v>
      </c>
      <c r="D573" s="268" t="s">
        <v>151</v>
      </c>
      <c r="E573" s="268" t="s">
        <v>332</v>
      </c>
      <c r="F573" s="268" t="s">
        <v>289</v>
      </c>
      <c r="G573">
        <v>59</v>
      </c>
      <c r="H573">
        <v>246332</v>
      </c>
    </row>
    <row r="574" spans="2:8" x14ac:dyDescent="0.3">
      <c r="B574" s="268" t="s">
        <v>335</v>
      </c>
      <c r="C574" s="268" t="s">
        <v>336</v>
      </c>
      <c r="D574" s="268" t="s">
        <v>151</v>
      </c>
      <c r="E574" s="268" t="s">
        <v>332</v>
      </c>
      <c r="F574" s="268" t="s">
        <v>290</v>
      </c>
      <c r="G574">
        <v>60</v>
      </c>
      <c r="H574">
        <v>251200</v>
      </c>
    </row>
    <row r="575" spans="2:8" x14ac:dyDescent="0.3">
      <c r="B575" s="268" t="s">
        <v>335</v>
      </c>
      <c r="C575" s="268" t="s">
        <v>336</v>
      </c>
      <c r="D575" s="268" t="s">
        <v>151</v>
      </c>
      <c r="E575" s="268" t="s">
        <v>332</v>
      </c>
      <c r="F575" s="268" t="s">
        <v>291</v>
      </c>
      <c r="G575">
        <v>61</v>
      </c>
      <c r="H575">
        <v>236984</v>
      </c>
    </row>
    <row r="576" spans="2:8" x14ac:dyDescent="0.3">
      <c r="B576" s="268" t="s">
        <v>335</v>
      </c>
      <c r="C576" s="268" t="s">
        <v>336</v>
      </c>
      <c r="D576" s="268" t="s">
        <v>151</v>
      </c>
      <c r="E576" s="268" t="s">
        <v>332</v>
      </c>
      <c r="F576" s="268" t="s">
        <v>292</v>
      </c>
      <c r="G576">
        <v>62</v>
      </c>
      <c r="H576">
        <v>228207</v>
      </c>
    </row>
    <row r="577" spans="2:8" x14ac:dyDescent="0.3">
      <c r="B577" s="268" t="s">
        <v>335</v>
      </c>
      <c r="C577" s="268" t="s">
        <v>336</v>
      </c>
      <c r="D577" s="268" t="s">
        <v>151</v>
      </c>
      <c r="E577" s="268" t="s">
        <v>332</v>
      </c>
      <c r="F577" s="268" t="s">
        <v>293</v>
      </c>
      <c r="G577">
        <v>63</v>
      </c>
      <c r="H577">
        <v>222037</v>
      </c>
    </row>
    <row r="578" spans="2:8" x14ac:dyDescent="0.3">
      <c r="B578" s="268" t="s">
        <v>335</v>
      </c>
      <c r="C578" s="268" t="s">
        <v>336</v>
      </c>
      <c r="D578" s="268" t="s">
        <v>151</v>
      </c>
      <c r="E578" s="268" t="s">
        <v>332</v>
      </c>
      <c r="F578" s="268" t="s">
        <v>294</v>
      </c>
      <c r="G578">
        <v>64</v>
      </c>
      <c r="H578">
        <v>209936</v>
      </c>
    </row>
    <row r="579" spans="2:8" x14ac:dyDescent="0.3">
      <c r="B579" s="268" t="s">
        <v>335</v>
      </c>
      <c r="C579" s="268" t="s">
        <v>336</v>
      </c>
      <c r="D579" s="268" t="s">
        <v>151</v>
      </c>
      <c r="E579" s="268" t="s">
        <v>332</v>
      </c>
      <c r="F579" s="268" t="s">
        <v>295</v>
      </c>
      <c r="G579">
        <v>65</v>
      </c>
      <c r="H579">
        <v>202337</v>
      </c>
    </row>
    <row r="580" spans="2:8" x14ac:dyDescent="0.3">
      <c r="B580" s="268" t="s">
        <v>335</v>
      </c>
      <c r="C580" s="268" t="s">
        <v>336</v>
      </c>
      <c r="D580" s="268" t="s">
        <v>151</v>
      </c>
      <c r="E580" s="268" t="s">
        <v>332</v>
      </c>
      <c r="F580" s="268" t="s">
        <v>296</v>
      </c>
      <c r="G580">
        <v>66</v>
      </c>
      <c r="H580">
        <v>185758</v>
      </c>
    </row>
    <row r="581" spans="2:8" x14ac:dyDescent="0.3">
      <c r="B581" s="268" t="s">
        <v>335</v>
      </c>
      <c r="C581" s="268" t="s">
        <v>336</v>
      </c>
      <c r="D581" s="268" t="s">
        <v>151</v>
      </c>
      <c r="E581" s="268" t="s">
        <v>332</v>
      </c>
      <c r="F581" s="268" t="s">
        <v>297</v>
      </c>
      <c r="G581">
        <v>67</v>
      </c>
      <c r="H581">
        <v>171135</v>
      </c>
    </row>
    <row r="582" spans="2:8" x14ac:dyDescent="0.3">
      <c r="B582" s="268" t="s">
        <v>335</v>
      </c>
      <c r="C582" s="268" t="s">
        <v>336</v>
      </c>
      <c r="D582" s="268" t="s">
        <v>151</v>
      </c>
      <c r="E582" s="268" t="s">
        <v>332</v>
      </c>
      <c r="F582" s="268" t="s">
        <v>298</v>
      </c>
      <c r="G582">
        <v>68</v>
      </c>
      <c r="H582">
        <v>159240</v>
      </c>
    </row>
    <row r="583" spans="2:8" x14ac:dyDescent="0.3">
      <c r="B583" s="268" t="s">
        <v>335</v>
      </c>
      <c r="C583" s="268" t="s">
        <v>336</v>
      </c>
      <c r="D583" s="268" t="s">
        <v>151</v>
      </c>
      <c r="E583" s="268" t="s">
        <v>332</v>
      </c>
      <c r="F583" s="268" t="s">
        <v>299</v>
      </c>
      <c r="G583">
        <v>69</v>
      </c>
      <c r="H583">
        <v>154393</v>
      </c>
    </row>
    <row r="584" spans="2:8" x14ac:dyDescent="0.3">
      <c r="B584" s="268" t="s">
        <v>335</v>
      </c>
      <c r="C584" s="268" t="s">
        <v>336</v>
      </c>
      <c r="D584" s="268" t="s">
        <v>151</v>
      </c>
      <c r="E584" s="268" t="s">
        <v>332</v>
      </c>
      <c r="F584" s="268" t="s">
        <v>300</v>
      </c>
      <c r="G584">
        <v>70</v>
      </c>
      <c r="H584">
        <v>147818</v>
      </c>
    </row>
    <row r="585" spans="2:8" x14ac:dyDescent="0.3">
      <c r="B585" s="268" t="s">
        <v>335</v>
      </c>
      <c r="C585" s="268" t="s">
        <v>336</v>
      </c>
      <c r="D585" s="268" t="s">
        <v>151</v>
      </c>
      <c r="E585" s="268" t="s">
        <v>332</v>
      </c>
      <c r="F585" s="268" t="s">
        <v>301</v>
      </c>
      <c r="G585">
        <v>71</v>
      </c>
      <c r="H585">
        <v>134608</v>
      </c>
    </row>
    <row r="586" spans="2:8" x14ac:dyDescent="0.3">
      <c r="B586" s="268" t="s">
        <v>335</v>
      </c>
      <c r="C586" s="268" t="s">
        <v>336</v>
      </c>
      <c r="D586" s="268" t="s">
        <v>151</v>
      </c>
      <c r="E586" s="268" t="s">
        <v>332</v>
      </c>
      <c r="F586" s="268" t="s">
        <v>302</v>
      </c>
      <c r="G586">
        <v>72</v>
      </c>
      <c r="H586">
        <v>125050</v>
      </c>
    </row>
    <row r="587" spans="2:8" x14ac:dyDescent="0.3">
      <c r="B587" s="268" t="s">
        <v>335</v>
      </c>
      <c r="C587" s="268" t="s">
        <v>336</v>
      </c>
      <c r="D587" s="268" t="s">
        <v>151</v>
      </c>
      <c r="E587" s="268" t="s">
        <v>332</v>
      </c>
      <c r="F587" s="268" t="s">
        <v>303</v>
      </c>
      <c r="G587">
        <v>73</v>
      </c>
      <c r="H587">
        <v>115691</v>
      </c>
    </row>
    <row r="588" spans="2:8" x14ac:dyDescent="0.3">
      <c r="B588" s="268" t="s">
        <v>335</v>
      </c>
      <c r="C588" s="268" t="s">
        <v>336</v>
      </c>
      <c r="D588" s="268" t="s">
        <v>151</v>
      </c>
      <c r="E588" s="268" t="s">
        <v>332</v>
      </c>
      <c r="F588" s="268" t="s">
        <v>304</v>
      </c>
      <c r="G588">
        <v>74</v>
      </c>
      <c r="H588">
        <v>90163</v>
      </c>
    </row>
    <row r="589" spans="2:8" x14ac:dyDescent="0.3">
      <c r="B589" s="268" t="s">
        <v>335</v>
      </c>
      <c r="C589" s="268" t="s">
        <v>336</v>
      </c>
      <c r="D589" s="268" t="s">
        <v>151</v>
      </c>
      <c r="E589" s="268" t="s">
        <v>332</v>
      </c>
      <c r="F589" s="268" t="s">
        <v>305</v>
      </c>
      <c r="G589">
        <v>75</v>
      </c>
      <c r="H589">
        <v>86755</v>
      </c>
    </row>
    <row r="590" spans="2:8" x14ac:dyDescent="0.3">
      <c r="B590" s="268" t="s">
        <v>335</v>
      </c>
      <c r="C590" s="268" t="s">
        <v>336</v>
      </c>
      <c r="D590" s="268" t="s">
        <v>151</v>
      </c>
      <c r="E590" s="268" t="s">
        <v>332</v>
      </c>
      <c r="F590" s="268" t="s">
        <v>306</v>
      </c>
      <c r="G590">
        <v>76</v>
      </c>
      <c r="H590">
        <v>78973</v>
      </c>
    </row>
    <row r="591" spans="2:8" x14ac:dyDescent="0.3">
      <c r="B591" s="268" t="s">
        <v>335</v>
      </c>
      <c r="C591" s="268" t="s">
        <v>336</v>
      </c>
      <c r="D591" s="268" t="s">
        <v>151</v>
      </c>
      <c r="E591" s="268" t="s">
        <v>332</v>
      </c>
      <c r="F591" s="268" t="s">
        <v>307</v>
      </c>
      <c r="G591">
        <v>77</v>
      </c>
      <c r="H591">
        <v>74326</v>
      </c>
    </row>
    <row r="592" spans="2:8" x14ac:dyDescent="0.3">
      <c r="B592" s="268" t="s">
        <v>335</v>
      </c>
      <c r="C592" s="268" t="s">
        <v>336</v>
      </c>
      <c r="D592" s="268" t="s">
        <v>151</v>
      </c>
      <c r="E592" s="268" t="s">
        <v>332</v>
      </c>
      <c r="F592" s="268" t="s">
        <v>308</v>
      </c>
      <c r="G592">
        <v>78</v>
      </c>
      <c r="H592">
        <v>64665</v>
      </c>
    </row>
    <row r="593" spans="2:8" x14ac:dyDescent="0.3">
      <c r="B593" s="268" t="s">
        <v>335</v>
      </c>
      <c r="C593" s="268" t="s">
        <v>336</v>
      </c>
      <c r="D593" s="268" t="s">
        <v>151</v>
      </c>
      <c r="E593" s="268" t="s">
        <v>332</v>
      </c>
      <c r="F593" s="268" t="s">
        <v>309</v>
      </c>
      <c r="G593">
        <v>79</v>
      </c>
      <c r="H593">
        <v>57573</v>
      </c>
    </row>
    <row r="594" spans="2:8" x14ac:dyDescent="0.3">
      <c r="B594" s="268" t="s">
        <v>335</v>
      </c>
      <c r="C594" s="268" t="s">
        <v>336</v>
      </c>
      <c r="D594" s="268" t="s">
        <v>151</v>
      </c>
      <c r="E594" s="268" t="s">
        <v>332</v>
      </c>
      <c r="F594" s="268" t="s">
        <v>310</v>
      </c>
      <c r="G594">
        <v>80</v>
      </c>
      <c r="H594">
        <v>53655</v>
      </c>
    </row>
    <row r="595" spans="2:8" x14ac:dyDescent="0.3">
      <c r="B595" s="268" t="s">
        <v>335</v>
      </c>
      <c r="C595" s="268" t="s">
        <v>336</v>
      </c>
      <c r="D595" s="268" t="s">
        <v>151</v>
      </c>
      <c r="E595" s="268" t="s">
        <v>332</v>
      </c>
      <c r="F595" s="268" t="s">
        <v>311</v>
      </c>
      <c r="G595">
        <v>81</v>
      </c>
      <c r="H595">
        <v>46889</v>
      </c>
    </row>
    <row r="596" spans="2:8" x14ac:dyDescent="0.3">
      <c r="B596" s="268" t="s">
        <v>335</v>
      </c>
      <c r="C596" s="268" t="s">
        <v>336</v>
      </c>
      <c r="D596" s="268" t="s">
        <v>151</v>
      </c>
      <c r="E596" s="268" t="s">
        <v>332</v>
      </c>
      <c r="F596" s="268" t="s">
        <v>312</v>
      </c>
      <c r="G596">
        <v>82</v>
      </c>
      <c r="H596">
        <v>41988</v>
      </c>
    </row>
    <row r="597" spans="2:8" x14ac:dyDescent="0.3">
      <c r="B597" s="268" t="s">
        <v>335</v>
      </c>
      <c r="C597" s="268" t="s">
        <v>336</v>
      </c>
      <c r="D597" s="268" t="s">
        <v>151</v>
      </c>
      <c r="E597" s="268" t="s">
        <v>332</v>
      </c>
      <c r="F597" s="268" t="s">
        <v>313</v>
      </c>
      <c r="G597">
        <v>83</v>
      </c>
      <c r="H597">
        <v>36813</v>
      </c>
    </row>
    <row r="598" spans="2:8" x14ac:dyDescent="0.3">
      <c r="B598" s="268" t="s">
        <v>335</v>
      </c>
      <c r="C598" s="268" t="s">
        <v>336</v>
      </c>
      <c r="D598" s="268" t="s">
        <v>151</v>
      </c>
      <c r="E598" s="268" t="s">
        <v>332</v>
      </c>
      <c r="F598" s="268" t="s">
        <v>314</v>
      </c>
      <c r="G598">
        <v>84</v>
      </c>
      <c r="H598">
        <v>33445</v>
      </c>
    </row>
    <row r="599" spans="2:8" x14ac:dyDescent="0.3">
      <c r="B599" s="268" t="s">
        <v>335</v>
      </c>
      <c r="C599" s="268" t="s">
        <v>336</v>
      </c>
      <c r="D599" s="268" t="s">
        <v>151</v>
      </c>
      <c r="E599" s="268" t="s">
        <v>332</v>
      </c>
      <c r="F599" s="268" t="s">
        <v>315</v>
      </c>
      <c r="G599">
        <v>85</v>
      </c>
      <c r="H599">
        <v>29412</v>
      </c>
    </row>
    <row r="600" spans="2:8" x14ac:dyDescent="0.3">
      <c r="B600" s="268" t="s">
        <v>335</v>
      </c>
      <c r="C600" s="268" t="s">
        <v>336</v>
      </c>
      <c r="D600" s="268" t="s">
        <v>151</v>
      </c>
      <c r="E600" s="268" t="s">
        <v>332</v>
      </c>
      <c r="F600" s="268" t="s">
        <v>316</v>
      </c>
      <c r="G600">
        <v>86</v>
      </c>
      <c r="H600">
        <v>24648</v>
      </c>
    </row>
    <row r="601" spans="2:8" x14ac:dyDescent="0.3">
      <c r="B601" s="268" t="s">
        <v>335</v>
      </c>
      <c r="C601" s="268" t="s">
        <v>336</v>
      </c>
      <c r="D601" s="268" t="s">
        <v>151</v>
      </c>
      <c r="E601" s="268" t="s">
        <v>332</v>
      </c>
      <c r="F601" s="268" t="s">
        <v>317</v>
      </c>
      <c r="G601">
        <v>87</v>
      </c>
      <c r="H601">
        <v>21605</v>
      </c>
    </row>
    <row r="602" spans="2:8" x14ac:dyDescent="0.3">
      <c r="B602" s="268" t="s">
        <v>335</v>
      </c>
      <c r="C602" s="268" t="s">
        <v>336</v>
      </c>
      <c r="D602" s="268" t="s">
        <v>151</v>
      </c>
      <c r="E602" s="268" t="s">
        <v>332</v>
      </c>
      <c r="F602" s="268" t="s">
        <v>318</v>
      </c>
      <c r="G602">
        <v>88</v>
      </c>
      <c r="H602">
        <v>18020</v>
      </c>
    </row>
    <row r="603" spans="2:8" x14ac:dyDescent="0.3">
      <c r="B603" s="268" t="s">
        <v>335</v>
      </c>
      <c r="C603" s="268" t="s">
        <v>336</v>
      </c>
      <c r="D603" s="268" t="s">
        <v>151</v>
      </c>
      <c r="E603" s="268" t="s">
        <v>332</v>
      </c>
      <c r="F603" s="268" t="s">
        <v>319</v>
      </c>
      <c r="G603">
        <v>89</v>
      </c>
      <c r="H603">
        <v>15052</v>
      </c>
    </row>
    <row r="604" spans="2:8" x14ac:dyDescent="0.3">
      <c r="B604" s="268" t="s">
        <v>335</v>
      </c>
      <c r="C604" s="268" t="s">
        <v>336</v>
      </c>
      <c r="D604" s="268" t="s">
        <v>151</v>
      </c>
      <c r="E604" s="268" t="s">
        <v>332</v>
      </c>
      <c r="F604" s="268" t="s">
        <v>320</v>
      </c>
      <c r="G604">
        <v>90</v>
      </c>
      <c r="H604">
        <v>13297</v>
      </c>
    </row>
    <row r="605" spans="2:8" x14ac:dyDescent="0.3">
      <c r="B605" s="268" t="s">
        <v>335</v>
      </c>
      <c r="C605" s="268" t="s">
        <v>336</v>
      </c>
      <c r="D605" s="268" t="s">
        <v>151</v>
      </c>
      <c r="E605" s="268" t="s">
        <v>332</v>
      </c>
      <c r="F605" s="268" t="s">
        <v>321</v>
      </c>
      <c r="G605">
        <v>91</v>
      </c>
      <c r="H605">
        <v>10518</v>
      </c>
    </row>
    <row r="606" spans="2:8" x14ac:dyDescent="0.3">
      <c r="B606" s="268" t="s">
        <v>335</v>
      </c>
      <c r="C606" s="268" t="s">
        <v>336</v>
      </c>
      <c r="D606" s="268" t="s">
        <v>151</v>
      </c>
      <c r="E606" s="268" t="s">
        <v>332</v>
      </c>
      <c r="F606" s="268" t="s">
        <v>322</v>
      </c>
      <c r="G606">
        <v>92</v>
      </c>
      <c r="H606">
        <v>8652</v>
      </c>
    </row>
    <row r="607" spans="2:8" x14ac:dyDescent="0.3">
      <c r="B607" s="268" t="s">
        <v>335</v>
      </c>
      <c r="C607" s="268" t="s">
        <v>336</v>
      </c>
      <c r="D607" s="268" t="s">
        <v>151</v>
      </c>
      <c r="E607" s="268" t="s">
        <v>332</v>
      </c>
      <c r="F607" s="268" t="s">
        <v>323</v>
      </c>
      <c r="G607">
        <v>93</v>
      </c>
      <c r="H607">
        <v>7122</v>
      </c>
    </row>
    <row r="608" spans="2:8" x14ac:dyDescent="0.3">
      <c r="B608" s="268" t="s">
        <v>335</v>
      </c>
      <c r="C608" s="268" t="s">
        <v>336</v>
      </c>
      <c r="D608" s="268" t="s">
        <v>151</v>
      </c>
      <c r="E608" s="268" t="s">
        <v>332</v>
      </c>
      <c r="F608" s="268" t="s">
        <v>324</v>
      </c>
      <c r="G608">
        <v>94</v>
      </c>
      <c r="H608">
        <v>5676</v>
      </c>
    </row>
    <row r="609" spans="1:9" x14ac:dyDescent="0.3">
      <c r="B609" s="268" t="s">
        <v>335</v>
      </c>
      <c r="C609" s="268" t="s">
        <v>336</v>
      </c>
      <c r="D609" s="268" t="s">
        <v>151</v>
      </c>
      <c r="E609" s="268" t="s">
        <v>332</v>
      </c>
      <c r="F609" s="268" t="s">
        <v>325</v>
      </c>
      <c r="G609">
        <v>95</v>
      </c>
      <c r="H609">
        <v>4494</v>
      </c>
    </row>
    <row r="610" spans="1:9" x14ac:dyDescent="0.3">
      <c r="B610" s="268" t="s">
        <v>335</v>
      </c>
      <c r="C610" s="268" t="s">
        <v>336</v>
      </c>
      <c r="D610" s="268" t="s">
        <v>151</v>
      </c>
      <c r="E610" s="268" t="s">
        <v>332</v>
      </c>
      <c r="F610" s="268" t="s">
        <v>326</v>
      </c>
      <c r="G610">
        <v>96</v>
      </c>
      <c r="H610">
        <v>3421</v>
      </c>
    </row>
    <row r="611" spans="1:9" x14ac:dyDescent="0.3">
      <c r="B611" s="268" t="s">
        <v>335</v>
      </c>
      <c r="C611" s="268" t="s">
        <v>336</v>
      </c>
      <c r="D611" s="268" t="s">
        <v>151</v>
      </c>
      <c r="E611" s="268" t="s">
        <v>332</v>
      </c>
      <c r="F611" s="268" t="s">
        <v>327</v>
      </c>
      <c r="G611">
        <v>97</v>
      </c>
      <c r="H611">
        <v>2588</v>
      </c>
    </row>
    <row r="612" spans="1:9" x14ac:dyDescent="0.3">
      <c r="B612" s="268" t="s">
        <v>335</v>
      </c>
      <c r="C612" s="268" t="s">
        <v>336</v>
      </c>
      <c r="D612" s="268" t="s">
        <v>151</v>
      </c>
      <c r="E612" s="268" t="s">
        <v>332</v>
      </c>
      <c r="F612" s="268" t="s">
        <v>328</v>
      </c>
      <c r="G612">
        <v>98</v>
      </c>
      <c r="H612">
        <v>1861</v>
      </c>
    </row>
    <row r="613" spans="1:9" x14ac:dyDescent="0.3">
      <c r="B613" s="268" t="s">
        <v>335</v>
      </c>
      <c r="C613" s="268" t="s">
        <v>336</v>
      </c>
      <c r="D613" s="268" t="s">
        <v>151</v>
      </c>
      <c r="E613" s="268" t="s">
        <v>332</v>
      </c>
      <c r="F613" s="268" t="s">
        <v>329</v>
      </c>
      <c r="G613">
        <v>99</v>
      </c>
      <c r="H613">
        <v>1312</v>
      </c>
    </row>
    <row r="614" spans="1:9" x14ac:dyDescent="0.3">
      <c r="B614" s="268" t="s">
        <v>335</v>
      </c>
      <c r="C614" s="268" t="s">
        <v>336</v>
      </c>
      <c r="D614" s="268" t="s">
        <v>151</v>
      </c>
      <c r="E614" s="268" t="s">
        <v>332</v>
      </c>
      <c r="F614" s="268" t="s">
        <v>330</v>
      </c>
      <c r="G614" t="s">
        <v>331</v>
      </c>
      <c r="H614">
        <v>2015</v>
      </c>
      <c r="I614" s="268" t="s">
        <v>152</v>
      </c>
    </row>
    <row r="615" spans="1:9" x14ac:dyDescent="0.3">
      <c r="A615" s="268" t="s">
        <v>70</v>
      </c>
      <c r="B615" s="268" t="s">
        <v>335</v>
      </c>
      <c r="C615" s="268" t="s">
        <v>336</v>
      </c>
      <c r="D615" s="268" t="s">
        <v>151</v>
      </c>
      <c r="E615" s="268" t="s">
        <v>332</v>
      </c>
      <c r="H615">
        <v>21368112</v>
      </c>
      <c r="I615">
        <f>H616-H615</f>
        <v>23222363</v>
      </c>
    </row>
    <row r="616" spans="1:9" x14ac:dyDescent="0.3">
      <c r="A616" s="268" t="s">
        <v>70</v>
      </c>
      <c r="B616" s="268" t="s">
        <v>335</v>
      </c>
      <c r="C616" s="268" t="s">
        <v>336</v>
      </c>
      <c r="H616">
        <v>44590475</v>
      </c>
    </row>
    <row r="617" spans="1:9" x14ac:dyDescent="0.3">
      <c r="B617" s="268" t="s">
        <v>337</v>
      </c>
      <c r="C617" s="268" t="s">
        <v>338</v>
      </c>
      <c r="D617" s="268" t="s">
        <v>152</v>
      </c>
      <c r="E617" s="268" t="s">
        <v>217</v>
      </c>
      <c r="F617" s="268" t="s">
        <v>218</v>
      </c>
      <c r="G617">
        <v>0</v>
      </c>
      <c r="H617">
        <v>5348</v>
      </c>
    </row>
    <row r="618" spans="1:9" x14ac:dyDescent="0.3">
      <c r="B618" s="268" t="s">
        <v>337</v>
      </c>
      <c r="C618" s="268" t="s">
        <v>338</v>
      </c>
      <c r="D618" s="268" t="s">
        <v>152</v>
      </c>
      <c r="E618" s="268" t="s">
        <v>217</v>
      </c>
      <c r="F618" s="268" t="s">
        <v>220</v>
      </c>
      <c r="G618">
        <v>1</v>
      </c>
      <c r="H618">
        <v>5326</v>
      </c>
    </row>
    <row r="619" spans="1:9" x14ac:dyDescent="0.3">
      <c r="B619" s="268" t="s">
        <v>337</v>
      </c>
      <c r="C619" s="268" t="s">
        <v>338</v>
      </c>
      <c r="D619" s="268" t="s">
        <v>152</v>
      </c>
      <c r="E619" s="268" t="s">
        <v>217</v>
      </c>
      <c r="F619" s="268" t="s">
        <v>221</v>
      </c>
      <c r="G619">
        <v>2</v>
      </c>
      <c r="H619">
        <v>5287</v>
      </c>
    </row>
    <row r="620" spans="1:9" x14ac:dyDescent="0.3">
      <c r="B620" s="268" t="s">
        <v>337</v>
      </c>
      <c r="C620" s="268" t="s">
        <v>338</v>
      </c>
      <c r="D620" s="268" t="s">
        <v>152</v>
      </c>
      <c r="E620" s="268" t="s">
        <v>217</v>
      </c>
      <c r="F620" s="268" t="s">
        <v>223</v>
      </c>
      <c r="G620">
        <v>3</v>
      </c>
      <c r="H620">
        <v>5238</v>
      </c>
    </row>
    <row r="621" spans="1:9" x14ac:dyDescent="0.3">
      <c r="B621" s="268" t="s">
        <v>337</v>
      </c>
      <c r="C621" s="268" t="s">
        <v>338</v>
      </c>
      <c r="D621" s="268" t="s">
        <v>152</v>
      </c>
      <c r="E621" s="268" t="s">
        <v>217</v>
      </c>
      <c r="F621" s="268" t="s">
        <v>225</v>
      </c>
      <c r="G621">
        <v>4</v>
      </c>
      <c r="H621">
        <v>5172</v>
      </c>
    </row>
    <row r="622" spans="1:9" x14ac:dyDescent="0.3">
      <c r="B622" s="268" t="s">
        <v>337</v>
      </c>
      <c r="C622" s="268" t="s">
        <v>338</v>
      </c>
      <c r="D622" s="268" t="s">
        <v>152</v>
      </c>
      <c r="E622" s="268" t="s">
        <v>217</v>
      </c>
      <c r="F622" s="268" t="s">
        <v>226</v>
      </c>
      <c r="G622">
        <v>5</v>
      </c>
      <c r="H622">
        <v>5100</v>
      </c>
    </row>
    <row r="623" spans="1:9" x14ac:dyDescent="0.3">
      <c r="B623" s="268" t="s">
        <v>337</v>
      </c>
      <c r="C623" s="268" t="s">
        <v>338</v>
      </c>
      <c r="D623" s="268" t="s">
        <v>152</v>
      </c>
      <c r="E623" s="268" t="s">
        <v>217</v>
      </c>
      <c r="F623" s="268" t="s">
        <v>227</v>
      </c>
      <c r="G623">
        <v>6</v>
      </c>
      <c r="H623">
        <v>5014</v>
      </c>
    </row>
    <row r="624" spans="1:9" x14ac:dyDescent="0.3">
      <c r="B624" s="268" t="s">
        <v>337</v>
      </c>
      <c r="C624" s="268" t="s">
        <v>338</v>
      </c>
      <c r="D624" s="268" t="s">
        <v>152</v>
      </c>
      <c r="E624" s="268" t="s">
        <v>217</v>
      </c>
      <c r="F624" s="268" t="s">
        <v>229</v>
      </c>
      <c r="G624">
        <v>7</v>
      </c>
      <c r="H624">
        <v>6083</v>
      </c>
    </row>
    <row r="625" spans="2:8" x14ac:dyDescent="0.3">
      <c r="B625" s="268" t="s">
        <v>337</v>
      </c>
      <c r="C625" s="268" t="s">
        <v>338</v>
      </c>
      <c r="D625" s="268" t="s">
        <v>152</v>
      </c>
      <c r="E625" s="268" t="s">
        <v>217</v>
      </c>
      <c r="F625" s="268" t="s">
        <v>230</v>
      </c>
      <c r="G625">
        <v>8</v>
      </c>
      <c r="H625">
        <v>6096</v>
      </c>
    </row>
    <row r="626" spans="2:8" x14ac:dyDescent="0.3">
      <c r="B626" s="268" t="s">
        <v>337</v>
      </c>
      <c r="C626" s="268" t="s">
        <v>338</v>
      </c>
      <c r="D626" s="268" t="s">
        <v>152</v>
      </c>
      <c r="E626" s="268" t="s">
        <v>217</v>
      </c>
      <c r="F626" s="268" t="s">
        <v>231</v>
      </c>
      <c r="G626">
        <v>9</v>
      </c>
      <c r="H626">
        <v>6087</v>
      </c>
    </row>
    <row r="627" spans="2:8" x14ac:dyDescent="0.3">
      <c r="B627" s="268" t="s">
        <v>337</v>
      </c>
      <c r="C627" s="268" t="s">
        <v>338</v>
      </c>
      <c r="D627" s="268" t="s">
        <v>152</v>
      </c>
      <c r="E627" s="268" t="s">
        <v>217</v>
      </c>
      <c r="F627" s="268" t="s">
        <v>233</v>
      </c>
      <c r="G627">
        <v>10</v>
      </c>
      <c r="H627">
        <v>6003</v>
      </c>
    </row>
    <row r="628" spans="2:8" x14ac:dyDescent="0.3">
      <c r="B628" s="268" t="s">
        <v>337</v>
      </c>
      <c r="C628" s="268" t="s">
        <v>338</v>
      </c>
      <c r="D628" s="268" t="s">
        <v>152</v>
      </c>
      <c r="E628" s="268" t="s">
        <v>217</v>
      </c>
      <c r="F628" s="268" t="s">
        <v>234</v>
      </c>
      <c r="G628">
        <v>11</v>
      </c>
      <c r="H628">
        <v>6057</v>
      </c>
    </row>
    <row r="629" spans="2:8" x14ac:dyDescent="0.3">
      <c r="B629" s="268" t="s">
        <v>337</v>
      </c>
      <c r="C629" s="268" t="s">
        <v>338</v>
      </c>
      <c r="D629" s="268" t="s">
        <v>152</v>
      </c>
      <c r="E629" s="268" t="s">
        <v>217</v>
      </c>
      <c r="F629" s="268" t="s">
        <v>235</v>
      </c>
      <c r="G629">
        <v>12</v>
      </c>
      <c r="H629">
        <v>6087</v>
      </c>
    </row>
    <row r="630" spans="2:8" x14ac:dyDescent="0.3">
      <c r="B630" s="268" t="s">
        <v>337</v>
      </c>
      <c r="C630" s="268" t="s">
        <v>338</v>
      </c>
      <c r="D630" s="268" t="s">
        <v>152</v>
      </c>
      <c r="E630" s="268" t="s">
        <v>217</v>
      </c>
      <c r="F630" s="268" t="s">
        <v>237</v>
      </c>
      <c r="G630">
        <v>13</v>
      </c>
      <c r="H630">
        <v>6145</v>
      </c>
    </row>
    <row r="631" spans="2:8" x14ac:dyDescent="0.3">
      <c r="B631" s="268" t="s">
        <v>337</v>
      </c>
      <c r="C631" s="268" t="s">
        <v>338</v>
      </c>
      <c r="D631" s="268" t="s">
        <v>152</v>
      </c>
      <c r="E631" s="268" t="s">
        <v>217</v>
      </c>
      <c r="F631" s="268" t="s">
        <v>239</v>
      </c>
      <c r="G631">
        <v>14</v>
      </c>
      <c r="H631">
        <v>5910</v>
      </c>
    </row>
    <row r="632" spans="2:8" x14ac:dyDescent="0.3">
      <c r="B632" s="268" t="s">
        <v>337</v>
      </c>
      <c r="C632" s="268" t="s">
        <v>338</v>
      </c>
      <c r="D632" s="268" t="s">
        <v>152</v>
      </c>
      <c r="E632" s="268" t="s">
        <v>217</v>
      </c>
      <c r="F632" s="268" t="s">
        <v>241</v>
      </c>
      <c r="G632">
        <v>15</v>
      </c>
      <c r="H632">
        <v>5971</v>
      </c>
    </row>
    <row r="633" spans="2:8" x14ac:dyDescent="0.3">
      <c r="B633" s="268" t="s">
        <v>337</v>
      </c>
      <c r="C633" s="268" t="s">
        <v>338</v>
      </c>
      <c r="D633" s="268" t="s">
        <v>152</v>
      </c>
      <c r="E633" s="268" t="s">
        <v>217</v>
      </c>
      <c r="F633" s="268" t="s">
        <v>243</v>
      </c>
      <c r="G633">
        <v>16</v>
      </c>
      <c r="H633">
        <v>5726</v>
      </c>
    </row>
    <row r="634" spans="2:8" x14ac:dyDescent="0.3">
      <c r="B634" s="268" t="s">
        <v>337</v>
      </c>
      <c r="C634" s="268" t="s">
        <v>338</v>
      </c>
      <c r="D634" s="268" t="s">
        <v>152</v>
      </c>
      <c r="E634" s="268" t="s">
        <v>217</v>
      </c>
      <c r="F634" s="268" t="s">
        <v>245</v>
      </c>
      <c r="G634">
        <v>17</v>
      </c>
      <c r="H634">
        <v>5720</v>
      </c>
    </row>
    <row r="635" spans="2:8" x14ac:dyDescent="0.3">
      <c r="B635" s="268" t="s">
        <v>337</v>
      </c>
      <c r="C635" s="268" t="s">
        <v>338</v>
      </c>
      <c r="D635" s="268" t="s">
        <v>152</v>
      </c>
      <c r="E635" s="268" t="s">
        <v>217</v>
      </c>
      <c r="F635" s="268" t="s">
        <v>247</v>
      </c>
      <c r="G635">
        <v>18</v>
      </c>
      <c r="H635">
        <v>5612</v>
      </c>
    </row>
    <row r="636" spans="2:8" x14ac:dyDescent="0.3">
      <c r="B636" s="268" t="s">
        <v>337</v>
      </c>
      <c r="C636" s="268" t="s">
        <v>338</v>
      </c>
      <c r="D636" s="268" t="s">
        <v>152</v>
      </c>
      <c r="E636" s="268" t="s">
        <v>217</v>
      </c>
      <c r="F636" s="268" t="s">
        <v>249</v>
      </c>
      <c r="G636">
        <v>19</v>
      </c>
      <c r="H636">
        <v>5816</v>
      </c>
    </row>
    <row r="637" spans="2:8" x14ac:dyDescent="0.3">
      <c r="B637" s="268" t="s">
        <v>337</v>
      </c>
      <c r="C637" s="268" t="s">
        <v>338</v>
      </c>
      <c r="D637" s="268" t="s">
        <v>152</v>
      </c>
      <c r="E637" s="268" t="s">
        <v>217</v>
      </c>
      <c r="F637" s="268" t="s">
        <v>250</v>
      </c>
      <c r="G637">
        <v>20</v>
      </c>
      <c r="H637">
        <v>5782</v>
      </c>
    </row>
    <row r="638" spans="2:8" x14ac:dyDescent="0.3">
      <c r="B638" s="268" t="s">
        <v>337</v>
      </c>
      <c r="C638" s="268" t="s">
        <v>338</v>
      </c>
      <c r="D638" s="268" t="s">
        <v>152</v>
      </c>
      <c r="E638" s="268" t="s">
        <v>217</v>
      </c>
      <c r="F638" s="268" t="s">
        <v>251</v>
      </c>
      <c r="G638">
        <v>21</v>
      </c>
      <c r="H638">
        <v>5646</v>
      </c>
    </row>
    <row r="639" spans="2:8" x14ac:dyDescent="0.3">
      <c r="B639" s="268" t="s">
        <v>337</v>
      </c>
      <c r="C639" s="268" t="s">
        <v>338</v>
      </c>
      <c r="D639" s="268" t="s">
        <v>152</v>
      </c>
      <c r="E639" s="268" t="s">
        <v>217</v>
      </c>
      <c r="F639" s="268" t="s">
        <v>252</v>
      </c>
      <c r="G639">
        <v>22</v>
      </c>
      <c r="H639">
        <v>5708</v>
      </c>
    </row>
    <row r="640" spans="2:8" x14ac:dyDescent="0.3">
      <c r="B640" s="268" t="s">
        <v>337</v>
      </c>
      <c r="C640" s="268" t="s">
        <v>338</v>
      </c>
      <c r="D640" s="268" t="s">
        <v>152</v>
      </c>
      <c r="E640" s="268" t="s">
        <v>217</v>
      </c>
      <c r="F640" s="268" t="s">
        <v>253</v>
      </c>
      <c r="G640">
        <v>23</v>
      </c>
      <c r="H640">
        <v>5683</v>
      </c>
    </row>
    <row r="641" spans="2:8" x14ac:dyDescent="0.3">
      <c r="B641" s="268" t="s">
        <v>337</v>
      </c>
      <c r="C641" s="268" t="s">
        <v>338</v>
      </c>
      <c r="D641" s="268" t="s">
        <v>152</v>
      </c>
      <c r="E641" s="268" t="s">
        <v>217</v>
      </c>
      <c r="F641" s="268" t="s">
        <v>254</v>
      </c>
      <c r="G641">
        <v>24</v>
      </c>
      <c r="H641">
        <v>5915</v>
      </c>
    </row>
    <row r="642" spans="2:8" x14ac:dyDescent="0.3">
      <c r="B642" s="268" t="s">
        <v>337</v>
      </c>
      <c r="C642" s="268" t="s">
        <v>338</v>
      </c>
      <c r="D642" s="268" t="s">
        <v>152</v>
      </c>
      <c r="E642" s="268" t="s">
        <v>217</v>
      </c>
      <c r="F642" s="268" t="s">
        <v>255</v>
      </c>
      <c r="G642">
        <v>25</v>
      </c>
      <c r="H642">
        <v>6144</v>
      </c>
    </row>
    <row r="643" spans="2:8" x14ac:dyDescent="0.3">
      <c r="B643" s="268" t="s">
        <v>337</v>
      </c>
      <c r="C643" s="268" t="s">
        <v>338</v>
      </c>
      <c r="D643" s="268" t="s">
        <v>152</v>
      </c>
      <c r="E643" s="268" t="s">
        <v>217</v>
      </c>
      <c r="F643" s="268" t="s">
        <v>256</v>
      </c>
      <c r="G643">
        <v>26</v>
      </c>
      <c r="H643">
        <v>6350</v>
      </c>
    </row>
    <row r="644" spans="2:8" x14ac:dyDescent="0.3">
      <c r="B644" s="268" t="s">
        <v>337</v>
      </c>
      <c r="C644" s="268" t="s">
        <v>338</v>
      </c>
      <c r="D644" s="268" t="s">
        <v>152</v>
      </c>
      <c r="E644" s="268" t="s">
        <v>217</v>
      </c>
      <c r="F644" s="268" t="s">
        <v>257</v>
      </c>
      <c r="G644">
        <v>27</v>
      </c>
      <c r="H644">
        <v>6392</v>
      </c>
    </row>
    <row r="645" spans="2:8" x14ac:dyDescent="0.3">
      <c r="B645" s="268" t="s">
        <v>337</v>
      </c>
      <c r="C645" s="268" t="s">
        <v>338</v>
      </c>
      <c r="D645" s="268" t="s">
        <v>152</v>
      </c>
      <c r="E645" s="268" t="s">
        <v>217</v>
      </c>
      <c r="F645" s="268" t="s">
        <v>258</v>
      </c>
      <c r="G645">
        <v>28</v>
      </c>
      <c r="H645">
        <v>6588</v>
      </c>
    </row>
    <row r="646" spans="2:8" x14ac:dyDescent="0.3">
      <c r="B646" s="268" t="s">
        <v>337</v>
      </c>
      <c r="C646" s="268" t="s">
        <v>338</v>
      </c>
      <c r="D646" s="268" t="s">
        <v>152</v>
      </c>
      <c r="E646" s="268" t="s">
        <v>217</v>
      </c>
      <c r="F646" s="268" t="s">
        <v>259</v>
      </c>
      <c r="G646">
        <v>29</v>
      </c>
      <c r="H646">
        <v>7061</v>
      </c>
    </row>
    <row r="647" spans="2:8" x14ac:dyDescent="0.3">
      <c r="B647" s="268" t="s">
        <v>337</v>
      </c>
      <c r="C647" s="268" t="s">
        <v>338</v>
      </c>
      <c r="D647" s="268" t="s">
        <v>152</v>
      </c>
      <c r="E647" s="268" t="s">
        <v>217</v>
      </c>
      <c r="F647" s="268" t="s">
        <v>260</v>
      </c>
      <c r="G647">
        <v>30</v>
      </c>
      <c r="H647">
        <v>7312</v>
      </c>
    </row>
    <row r="648" spans="2:8" x14ac:dyDescent="0.3">
      <c r="B648" s="268" t="s">
        <v>337</v>
      </c>
      <c r="C648" s="268" t="s">
        <v>338</v>
      </c>
      <c r="D648" s="268" t="s">
        <v>152</v>
      </c>
      <c r="E648" s="268" t="s">
        <v>217</v>
      </c>
      <c r="F648" s="268" t="s">
        <v>261</v>
      </c>
      <c r="G648">
        <v>31</v>
      </c>
      <c r="H648">
        <v>7001</v>
      </c>
    </row>
    <row r="649" spans="2:8" x14ac:dyDescent="0.3">
      <c r="B649" s="268" t="s">
        <v>337</v>
      </c>
      <c r="C649" s="268" t="s">
        <v>338</v>
      </c>
      <c r="D649" s="268" t="s">
        <v>152</v>
      </c>
      <c r="E649" s="268" t="s">
        <v>217</v>
      </c>
      <c r="F649" s="268" t="s">
        <v>262</v>
      </c>
      <c r="G649">
        <v>32</v>
      </c>
      <c r="H649">
        <v>6897</v>
      </c>
    </row>
    <row r="650" spans="2:8" x14ac:dyDescent="0.3">
      <c r="B650" s="268" t="s">
        <v>337</v>
      </c>
      <c r="C650" s="268" t="s">
        <v>338</v>
      </c>
      <c r="D650" s="268" t="s">
        <v>152</v>
      </c>
      <c r="E650" s="268" t="s">
        <v>217</v>
      </c>
      <c r="F650" s="268" t="s">
        <v>263</v>
      </c>
      <c r="G650">
        <v>33</v>
      </c>
      <c r="H650">
        <v>6694</v>
      </c>
    </row>
    <row r="651" spans="2:8" x14ac:dyDescent="0.3">
      <c r="B651" s="268" t="s">
        <v>337</v>
      </c>
      <c r="C651" s="268" t="s">
        <v>338</v>
      </c>
      <c r="D651" s="268" t="s">
        <v>152</v>
      </c>
      <c r="E651" s="268" t="s">
        <v>217</v>
      </c>
      <c r="F651" s="268" t="s">
        <v>264</v>
      </c>
      <c r="G651">
        <v>34</v>
      </c>
      <c r="H651">
        <v>6707</v>
      </c>
    </row>
    <row r="652" spans="2:8" x14ac:dyDescent="0.3">
      <c r="B652" s="268" t="s">
        <v>337</v>
      </c>
      <c r="C652" s="268" t="s">
        <v>338</v>
      </c>
      <c r="D652" s="268" t="s">
        <v>152</v>
      </c>
      <c r="E652" s="268" t="s">
        <v>217</v>
      </c>
      <c r="F652" s="268" t="s">
        <v>265</v>
      </c>
      <c r="G652">
        <v>35</v>
      </c>
      <c r="H652">
        <v>6626</v>
      </c>
    </row>
    <row r="653" spans="2:8" x14ac:dyDescent="0.3">
      <c r="B653" s="268" t="s">
        <v>337</v>
      </c>
      <c r="C653" s="268" t="s">
        <v>338</v>
      </c>
      <c r="D653" s="268" t="s">
        <v>152</v>
      </c>
      <c r="E653" s="268" t="s">
        <v>217</v>
      </c>
      <c r="F653" s="268" t="s">
        <v>266</v>
      </c>
      <c r="G653">
        <v>36</v>
      </c>
      <c r="H653">
        <v>6414</v>
      </c>
    </row>
    <row r="654" spans="2:8" x14ac:dyDescent="0.3">
      <c r="B654" s="268" t="s">
        <v>337</v>
      </c>
      <c r="C654" s="268" t="s">
        <v>338</v>
      </c>
      <c r="D654" s="268" t="s">
        <v>152</v>
      </c>
      <c r="E654" s="268" t="s">
        <v>217</v>
      </c>
      <c r="F654" s="268" t="s">
        <v>267</v>
      </c>
      <c r="G654">
        <v>37</v>
      </c>
      <c r="H654">
        <v>6522</v>
      </c>
    </row>
    <row r="655" spans="2:8" x14ac:dyDescent="0.3">
      <c r="B655" s="268" t="s">
        <v>337</v>
      </c>
      <c r="C655" s="268" t="s">
        <v>338</v>
      </c>
      <c r="D655" s="268" t="s">
        <v>152</v>
      </c>
      <c r="E655" s="268" t="s">
        <v>217</v>
      </c>
      <c r="F655" s="268" t="s">
        <v>268</v>
      </c>
      <c r="G655">
        <v>38</v>
      </c>
      <c r="H655">
        <v>6459</v>
      </c>
    </row>
    <row r="656" spans="2:8" x14ac:dyDescent="0.3">
      <c r="B656" s="268" t="s">
        <v>337</v>
      </c>
      <c r="C656" s="268" t="s">
        <v>338</v>
      </c>
      <c r="D656" s="268" t="s">
        <v>152</v>
      </c>
      <c r="E656" s="268" t="s">
        <v>217</v>
      </c>
      <c r="F656" s="268" t="s">
        <v>269</v>
      </c>
      <c r="G656">
        <v>39</v>
      </c>
      <c r="H656">
        <v>6036</v>
      </c>
    </row>
    <row r="657" spans="2:8" x14ac:dyDescent="0.3">
      <c r="B657" s="268" t="s">
        <v>337</v>
      </c>
      <c r="C657" s="268" t="s">
        <v>338</v>
      </c>
      <c r="D657" s="268" t="s">
        <v>152</v>
      </c>
      <c r="E657" s="268" t="s">
        <v>217</v>
      </c>
      <c r="F657" s="268" t="s">
        <v>270</v>
      </c>
      <c r="G657">
        <v>40</v>
      </c>
      <c r="H657">
        <v>6334</v>
      </c>
    </row>
    <row r="658" spans="2:8" x14ac:dyDescent="0.3">
      <c r="B658" s="268" t="s">
        <v>337</v>
      </c>
      <c r="C658" s="268" t="s">
        <v>338</v>
      </c>
      <c r="D658" s="268" t="s">
        <v>152</v>
      </c>
      <c r="E658" s="268" t="s">
        <v>217</v>
      </c>
      <c r="F658" s="268" t="s">
        <v>271</v>
      </c>
      <c r="G658">
        <v>41</v>
      </c>
      <c r="H658">
        <v>5829</v>
      </c>
    </row>
    <row r="659" spans="2:8" x14ac:dyDescent="0.3">
      <c r="B659" s="268" t="s">
        <v>337</v>
      </c>
      <c r="C659" s="268" t="s">
        <v>338</v>
      </c>
      <c r="D659" s="268" t="s">
        <v>152</v>
      </c>
      <c r="E659" s="268" t="s">
        <v>217</v>
      </c>
      <c r="F659" s="268" t="s">
        <v>272</v>
      </c>
      <c r="G659">
        <v>42</v>
      </c>
      <c r="H659">
        <v>5617</v>
      </c>
    </row>
    <row r="660" spans="2:8" x14ac:dyDescent="0.3">
      <c r="B660" s="268" t="s">
        <v>337</v>
      </c>
      <c r="C660" s="268" t="s">
        <v>338</v>
      </c>
      <c r="D660" s="268" t="s">
        <v>152</v>
      </c>
      <c r="E660" s="268" t="s">
        <v>217</v>
      </c>
      <c r="F660" s="268" t="s">
        <v>273</v>
      </c>
      <c r="G660">
        <v>43</v>
      </c>
      <c r="H660">
        <v>5597</v>
      </c>
    </row>
    <row r="661" spans="2:8" x14ac:dyDescent="0.3">
      <c r="B661" s="268" t="s">
        <v>337</v>
      </c>
      <c r="C661" s="268" t="s">
        <v>338</v>
      </c>
      <c r="D661" s="268" t="s">
        <v>152</v>
      </c>
      <c r="E661" s="268" t="s">
        <v>217</v>
      </c>
      <c r="F661" s="268" t="s">
        <v>274</v>
      </c>
      <c r="G661">
        <v>44</v>
      </c>
      <c r="H661">
        <v>5285</v>
      </c>
    </row>
    <row r="662" spans="2:8" x14ac:dyDescent="0.3">
      <c r="B662" s="268" t="s">
        <v>337</v>
      </c>
      <c r="C662" s="268" t="s">
        <v>338</v>
      </c>
      <c r="D662" s="268" t="s">
        <v>152</v>
      </c>
      <c r="E662" s="268" t="s">
        <v>217</v>
      </c>
      <c r="F662" s="268" t="s">
        <v>275</v>
      </c>
      <c r="G662">
        <v>45</v>
      </c>
      <c r="H662">
        <v>5073</v>
      </c>
    </row>
    <row r="663" spans="2:8" x14ac:dyDescent="0.3">
      <c r="B663" s="268" t="s">
        <v>337</v>
      </c>
      <c r="C663" s="268" t="s">
        <v>338</v>
      </c>
      <c r="D663" s="268" t="s">
        <v>152</v>
      </c>
      <c r="E663" s="268" t="s">
        <v>217</v>
      </c>
      <c r="F663" s="268" t="s">
        <v>276</v>
      </c>
      <c r="G663">
        <v>46</v>
      </c>
      <c r="H663">
        <v>4969</v>
      </c>
    </row>
    <row r="664" spans="2:8" x14ac:dyDescent="0.3">
      <c r="B664" s="268" t="s">
        <v>337</v>
      </c>
      <c r="C664" s="268" t="s">
        <v>338</v>
      </c>
      <c r="D664" s="268" t="s">
        <v>152</v>
      </c>
      <c r="E664" s="268" t="s">
        <v>217</v>
      </c>
      <c r="F664" s="268" t="s">
        <v>277</v>
      </c>
      <c r="G664">
        <v>47</v>
      </c>
      <c r="H664">
        <v>4866</v>
      </c>
    </row>
    <row r="665" spans="2:8" x14ac:dyDescent="0.3">
      <c r="B665" s="268" t="s">
        <v>337</v>
      </c>
      <c r="C665" s="268" t="s">
        <v>338</v>
      </c>
      <c r="D665" s="268" t="s">
        <v>152</v>
      </c>
      <c r="E665" s="268" t="s">
        <v>217</v>
      </c>
      <c r="F665" s="268" t="s">
        <v>278</v>
      </c>
      <c r="G665">
        <v>48</v>
      </c>
      <c r="H665">
        <v>4841</v>
      </c>
    </row>
    <row r="666" spans="2:8" x14ac:dyDescent="0.3">
      <c r="B666" s="268" t="s">
        <v>337</v>
      </c>
      <c r="C666" s="268" t="s">
        <v>338</v>
      </c>
      <c r="D666" s="268" t="s">
        <v>152</v>
      </c>
      <c r="E666" s="268" t="s">
        <v>217</v>
      </c>
      <c r="F666" s="268" t="s">
        <v>279</v>
      </c>
      <c r="G666">
        <v>49</v>
      </c>
      <c r="H666">
        <v>4883</v>
      </c>
    </row>
    <row r="667" spans="2:8" x14ac:dyDescent="0.3">
      <c r="B667" s="268" t="s">
        <v>337</v>
      </c>
      <c r="C667" s="268" t="s">
        <v>338</v>
      </c>
      <c r="D667" s="268" t="s">
        <v>152</v>
      </c>
      <c r="E667" s="268" t="s">
        <v>217</v>
      </c>
      <c r="F667" s="268" t="s">
        <v>280</v>
      </c>
      <c r="G667">
        <v>50</v>
      </c>
      <c r="H667">
        <v>5006</v>
      </c>
    </row>
    <row r="668" spans="2:8" x14ac:dyDescent="0.3">
      <c r="B668" s="268" t="s">
        <v>337</v>
      </c>
      <c r="C668" s="268" t="s">
        <v>338</v>
      </c>
      <c r="D668" s="268" t="s">
        <v>152</v>
      </c>
      <c r="E668" s="268" t="s">
        <v>217</v>
      </c>
      <c r="F668" s="268" t="s">
        <v>281</v>
      </c>
      <c r="G668">
        <v>51</v>
      </c>
      <c r="H668">
        <v>4611</v>
      </c>
    </row>
    <row r="669" spans="2:8" x14ac:dyDescent="0.3">
      <c r="B669" s="268" t="s">
        <v>337</v>
      </c>
      <c r="C669" s="268" t="s">
        <v>338</v>
      </c>
      <c r="D669" s="268" t="s">
        <v>152</v>
      </c>
      <c r="E669" s="268" t="s">
        <v>217</v>
      </c>
      <c r="F669" s="268" t="s">
        <v>282</v>
      </c>
      <c r="G669">
        <v>52</v>
      </c>
      <c r="H669">
        <v>4436</v>
      </c>
    </row>
    <row r="670" spans="2:8" x14ac:dyDescent="0.3">
      <c r="B670" s="268" t="s">
        <v>337</v>
      </c>
      <c r="C670" s="268" t="s">
        <v>338</v>
      </c>
      <c r="D670" s="268" t="s">
        <v>152</v>
      </c>
      <c r="E670" s="268" t="s">
        <v>217</v>
      </c>
      <c r="F670" s="268" t="s">
        <v>283</v>
      </c>
      <c r="G670">
        <v>53</v>
      </c>
      <c r="H670">
        <v>4403</v>
      </c>
    </row>
    <row r="671" spans="2:8" x14ac:dyDescent="0.3">
      <c r="B671" s="268" t="s">
        <v>337</v>
      </c>
      <c r="C671" s="268" t="s">
        <v>338</v>
      </c>
      <c r="D671" s="268" t="s">
        <v>152</v>
      </c>
      <c r="E671" s="268" t="s">
        <v>217</v>
      </c>
      <c r="F671" s="268" t="s">
        <v>284</v>
      </c>
      <c r="G671">
        <v>54</v>
      </c>
      <c r="H671">
        <v>4391</v>
      </c>
    </row>
    <row r="672" spans="2:8" x14ac:dyDescent="0.3">
      <c r="B672" s="268" t="s">
        <v>337</v>
      </c>
      <c r="C672" s="268" t="s">
        <v>338</v>
      </c>
      <c r="D672" s="268" t="s">
        <v>152</v>
      </c>
      <c r="E672" s="268" t="s">
        <v>217</v>
      </c>
      <c r="F672" s="268" t="s">
        <v>285</v>
      </c>
      <c r="G672">
        <v>55</v>
      </c>
      <c r="H672">
        <v>4605</v>
      </c>
    </row>
    <row r="673" spans="2:8" x14ac:dyDescent="0.3">
      <c r="B673" s="268" t="s">
        <v>337</v>
      </c>
      <c r="C673" s="268" t="s">
        <v>338</v>
      </c>
      <c r="D673" s="268" t="s">
        <v>152</v>
      </c>
      <c r="E673" s="268" t="s">
        <v>217</v>
      </c>
      <c r="F673" s="268" t="s">
        <v>286</v>
      </c>
      <c r="G673">
        <v>56</v>
      </c>
      <c r="H673">
        <v>4454</v>
      </c>
    </row>
    <row r="674" spans="2:8" x14ac:dyDescent="0.3">
      <c r="B674" s="268" t="s">
        <v>337</v>
      </c>
      <c r="C674" s="268" t="s">
        <v>338</v>
      </c>
      <c r="D674" s="268" t="s">
        <v>152</v>
      </c>
      <c r="E674" s="268" t="s">
        <v>217</v>
      </c>
      <c r="F674" s="268" t="s">
        <v>287</v>
      </c>
      <c r="G674">
        <v>57</v>
      </c>
      <c r="H674">
        <v>4303</v>
      </c>
    </row>
    <row r="675" spans="2:8" x14ac:dyDescent="0.3">
      <c r="B675" s="268" t="s">
        <v>337</v>
      </c>
      <c r="C675" s="268" t="s">
        <v>338</v>
      </c>
      <c r="D675" s="268" t="s">
        <v>152</v>
      </c>
      <c r="E675" s="268" t="s">
        <v>217</v>
      </c>
      <c r="F675" s="268" t="s">
        <v>288</v>
      </c>
      <c r="G675">
        <v>58</v>
      </c>
      <c r="H675">
        <v>4295</v>
      </c>
    </row>
    <row r="676" spans="2:8" x14ac:dyDescent="0.3">
      <c r="B676" s="268" t="s">
        <v>337</v>
      </c>
      <c r="C676" s="268" t="s">
        <v>338</v>
      </c>
      <c r="D676" s="268" t="s">
        <v>152</v>
      </c>
      <c r="E676" s="268" t="s">
        <v>217</v>
      </c>
      <c r="F676" s="268" t="s">
        <v>289</v>
      </c>
      <c r="G676">
        <v>59</v>
      </c>
      <c r="H676">
        <v>4143</v>
      </c>
    </row>
    <row r="677" spans="2:8" x14ac:dyDescent="0.3">
      <c r="B677" s="268" t="s">
        <v>337</v>
      </c>
      <c r="C677" s="268" t="s">
        <v>338</v>
      </c>
      <c r="D677" s="268" t="s">
        <v>152</v>
      </c>
      <c r="E677" s="268" t="s">
        <v>217</v>
      </c>
      <c r="F677" s="268" t="s">
        <v>290</v>
      </c>
      <c r="G677">
        <v>60</v>
      </c>
      <c r="H677">
        <v>4131</v>
      </c>
    </row>
    <row r="678" spans="2:8" x14ac:dyDescent="0.3">
      <c r="B678" s="268" t="s">
        <v>337</v>
      </c>
      <c r="C678" s="268" t="s">
        <v>338</v>
      </c>
      <c r="D678" s="268" t="s">
        <v>152</v>
      </c>
      <c r="E678" s="268" t="s">
        <v>217</v>
      </c>
      <c r="F678" s="268" t="s">
        <v>291</v>
      </c>
      <c r="G678">
        <v>61</v>
      </c>
      <c r="H678">
        <v>3812</v>
      </c>
    </row>
    <row r="679" spans="2:8" x14ac:dyDescent="0.3">
      <c r="B679" s="268" t="s">
        <v>337</v>
      </c>
      <c r="C679" s="268" t="s">
        <v>338</v>
      </c>
      <c r="D679" s="268" t="s">
        <v>152</v>
      </c>
      <c r="E679" s="268" t="s">
        <v>217</v>
      </c>
      <c r="F679" s="268" t="s">
        <v>292</v>
      </c>
      <c r="G679">
        <v>62</v>
      </c>
      <c r="H679">
        <v>3728</v>
      </c>
    </row>
    <row r="680" spans="2:8" x14ac:dyDescent="0.3">
      <c r="B680" s="268" t="s">
        <v>337</v>
      </c>
      <c r="C680" s="268" t="s">
        <v>338</v>
      </c>
      <c r="D680" s="268" t="s">
        <v>152</v>
      </c>
      <c r="E680" s="268" t="s">
        <v>217</v>
      </c>
      <c r="F680" s="268" t="s">
        <v>293</v>
      </c>
      <c r="G680">
        <v>63</v>
      </c>
      <c r="H680">
        <v>3505</v>
      </c>
    </row>
    <row r="681" spans="2:8" x14ac:dyDescent="0.3">
      <c r="B681" s="268" t="s">
        <v>337</v>
      </c>
      <c r="C681" s="268" t="s">
        <v>338</v>
      </c>
      <c r="D681" s="268" t="s">
        <v>152</v>
      </c>
      <c r="E681" s="268" t="s">
        <v>217</v>
      </c>
      <c r="F681" s="268" t="s">
        <v>294</v>
      </c>
      <c r="G681">
        <v>64</v>
      </c>
      <c r="H681">
        <v>3380</v>
      </c>
    </row>
    <row r="682" spans="2:8" x14ac:dyDescent="0.3">
      <c r="B682" s="268" t="s">
        <v>337</v>
      </c>
      <c r="C682" s="268" t="s">
        <v>338</v>
      </c>
      <c r="D682" s="268" t="s">
        <v>152</v>
      </c>
      <c r="E682" s="268" t="s">
        <v>217</v>
      </c>
      <c r="F682" s="268" t="s">
        <v>295</v>
      </c>
      <c r="G682">
        <v>65</v>
      </c>
      <c r="H682">
        <v>3326</v>
      </c>
    </row>
    <row r="683" spans="2:8" x14ac:dyDescent="0.3">
      <c r="B683" s="268" t="s">
        <v>337</v>
      </c>
      <c r="C683" s="268" t="s">
        <v>338</v>
      </c>
      <c r="D683" s="268" t="s">
        <v>152</v>
      </c>
      <c r="E683" s="268" t="s">
        <v>217</v>
      </c>
      <c r="F683" s="268" t="s">
        <v>296</v>
      </c>
      <c r="G683">
        <v>66</v>
      </c>
      <c r="H683">
        <v>3062</v>
      </c>
    </row>
    <row r="684" spans="2:8" x14ac:dyDescent="0.3">
      <c r="B684" s="268" t="s">
        <v>337</v>
      </c>
      <c r="C684" s="268" t="s">
        <v>338</v>
      </c>
      <c r="D684" s="268" t="s">
        <v>152</v>
      </c>
      <c r="E684" s="268" t="s">
        <v>217</v>
      </c>
      <c r="F684" s="268" t="s">
        <v>297</v>
      </c>
      <c r="G684">
        <v>67</v>
      </c>
      <c r="H684">
        <v>2860</v>
      </c>
    </row>
    <row r="685" spans="2:8" x14ac:dyDescent="0.3">
      <c r="B685" s="268" t="s">
        <v>337</v>
      </c>
      <c r="C685" s="268" t="s">
        <v>338</v>
      </c>
      <c r="D685" s="268" t="s">
        <v>152</v>
      </c>
      <c r="E685" s="268" t="s">
        <v>217</v>
      </c>
      <c r="F685" s="268" t="s">
        <v>298</v>
      </c>
      <c r="G685">
        <v>68</v>
      </c>
      <c r="H685">
        <v>2707</v>
      </c>
    </row>
    <row r="686" spans="2:8" x14ac:dyDescent="0.3">
      <c r="B686" s="268" t="s">
        <v>337</v>
      </c>
      <c r="C686" s="268" t="s">
        <v>338</v>
      </c>
      <c r="D686" s="268" t="s">
        <v>152</v>
      </c>
      <c r="E686" s="268" t="s">
        <v>217</v>
      </c>
      <c r="F686" s="268" t="s">
        <v>299</v>
      </c>
      <c r="G686">
        <v>69</v>
      </c>
      <c r="H686">
        <v>2513</v>
      </c>
    </row>
    <row r="687" spans="2:8" x14ac:dyDescent="0.3">
      <c r="B687" s="268" t="s">
        <v>337</v>
      </c>
      <c r="C687" s="268" t="s">
        <v>338</v>
      </c>
      <c r="D687" s="268" t="s">
        <v>152</v>
      </c>
      <c r="E687" s="268" t="s">
        <v>217</v>
      </c>
      <c r="F687" s="268" t="s">
        <v>300</v>
      </c>
      <c r="G687">
        <v>70</v>
      </c>
      <c r="H687">
        <v>2450</v>
      </c>
    </row>
    <row r="688" spans="2:8" x14ac:dyDescent="0.3">
      <c r="B688" s="268" t="s">
        <v>337</v>
      </c>
      <c r="C688" s="268" t="s">
        <v>338</v>
      </c>
      <c r="D688" s="268" t="s">
        <v>152</v>
      </c>
      <c r="E688" s="268" t="s">
        <v>217</v>
      </c>
      <c r="F688" s="268" t="s">
        <v>301</v>
      </c>
      <c r="G688">
        <v>71</v>
      </c>
      <c r="H688">
        <v>2344</v>
      </c>
    </row>
    <row r="689" spans="2:8" x14ac:dyDescent="0.3">
      <c r="B689" s="268" t="s">
        <v>337</v>
      </c>
      <c r="C689" s="268" t="s">
        <v>338</v>
      </c>
      <c r="D689" s="268" t="s">
        <v>152</v>
      </c>
      <c r="E689" s="268" t="s">
        <v>217</v>
      </c>
      <c r="F689" s="268" t="s">
        <v>302</v>
      </c>
      <c r="G689">
        <v>72</v>
      </c>
      <c r="H689">
        <v>2129</v>
      </c>
    </row>
    <row r="690" spans="2:8" x14ac:dyDescent="0.3">
      <c r="B690" s="268" t="s">
        <v>337</v>
      </c>
      <c r="C690" s="268" t="s">
        <v>338</v>
      </c>
      <c r="D690" s="268" t="s">
        <v>152</v>
      </c>
      <c r="E690" s="268" t="s">
        <v>217</v>
      </c>
      <c r="F690" s="268" t="s">
        <v>303</v>
      </c>
      <c r="G690">
        <v>73</v>
      </c>
      <c r="H690">
        <v>1889</v>
      </c>
    </row>
    <row r="691" spans="2:8" x14ac:dyDescent="0.3">
      <c r="B691" s="268" t="s">
        <v>337</v>
      </c>
      <c r="C691" s="268" t="s">
        <v>338</v>
      </c>
      <c r="D691" s="268" t="s">
        <v>152</v>
      </c>
      <c r="E691" s="268" t="s">
        <v>217</v>
      </c>
      <c r="F691" s="268" t="s">
        <v>304</v>
      </c>
      <c r="G691">
        <v>74</v>
      </c>
      <c r="H691">
        <v>1720</v>
      </c>
    </row>
    <row r="692" spans="2:8" x14ac:dyDescent="0.3">
      <c r="B692" s="268" t="s">
        <v>337</v>
      </c>
      <c r="C692" s="268" t="s">
        <v>338</v>
      </c>
      <c r="D692" s="268" t="s">
        <v>152</v>
      </c>
      <c r="E692" s="268" t="s">
        <v>217</v>
      </c>
      <c r="F692" s="268" t="s">
        <v>305</v>
      </c>
      <c r="G692">
        <v>75</v>
      </c>
      <c r="H692">
        <v>1627</v>
      </c>
    </row>
    <row r="693" spans="2:8" x14ac:dyDescent="0.3">
      <c r="B693" s="268" t="s">
        <v>337</v>
      </c>
      <c r="C693" s="268" t="s">
        <v>338</v>
      </c>
      <c r="D693" s="268" t="s">
        <v>152</v>
      </c>
      <c r="E693" s="268" t="s">
        <v>217</v>
      </c>
      <c r="F693" s="268" t="s">
        <v>306</v>
      </c>
      <c r="G693">
        <v>76</v>
      </c>
      <c r="H693">
        <v>1400</v>
      </c>
    </row>
    <row r="694" spans="2:8" x14ac:dyDescent="0.3">
      <c r="B694" s="268" t="s">
        <v>337</v>
      </c>
      <c r="C694" s="268" t="s">
        <v>338</v>
      </c>
      <c r="D694" s="268" t="s">
        <v>152</v>
      </c>
      <c r="E694" s="268" t="s">
        <v>217</v>
      </c>
      <c r="F694" s="268" t="s">
        <v>307</v>
      </c>
      <c r="G694">
        <v>77</v>
      </c>
      <c r="H694">
        <v>1283</v>
      </c>
    </row>
    <row r="695" spans="2:8" x14ac:dyDescent="0.3">
      <c r="B695" s="268" t="s">
        <v>337</v>
      </c>
      <c r="C695" s="268" t="s">
        <v>338</v>
      </c>
      <c r="D695" s="268" t="s">
        <v>152</v>
      </c>
      <c r="E695" s="268" t="s">
        <v>217</v>
      </c>
      <c r="F695" s="268" t="s">
        <v>308</v>
      </c>
      <c r="G695">
        <v>78</v>
      </c>
      <c r="H695">
        <v>1175</v>
      </c>
    </row>
    <row r="696" spans="2:8" x14ac:dyDescent="0.3">
      <c r="B696" s="268" t="s">
        <v>337</v>
      </c>
      <c r="C696" s="268" t="s">
        <v>338</v>
      </c>
      <c r="D696" s="268" t="s">
        <v>152</v>
      </c>
      <c r="E696" s="268" t="s">
        <v>217</v>
      </c>
      <c r="F696" s="268" t="s">
        <v>309</v>
      </c>
      <c r="G696">
        <v>79</v>
      </c>
      <c r="H696">
        <v>1002</v>
      </c>
    </row>
    <row r="697" spans="2:8" x14ac:dyDescent="0.3">
      <c r="B697" s="268" t="s">
        <v>337</v>
      </c>
      <c r="C697" s="268" t="s">
        <v>338</v>
      </c>
      <c r="D697" s="268" t="s">
        <v>152</v>
      </c>
      <c r="E697" s="268" t="s">
        <v>217</v>
      </c>
      <c r="F697" s="268" t="s">
        <v>310</v>
      </c>
      <c r="G697">
        <v>80</v>
      </c>
      <c r="H697">
        <v>1029</v>
      </c>
    </row>
    <row r="698" spans="2:8" x14ac:dyDescent="0.3">
      <c r="B698" s="268" t="s">
        <v>337</v>
      </c>
      <c r="C698" s="268" t="s">
        <v>338</v>
      </c>
      <c r="D698" s="268" t="s">
        <v>152</v>
      </c>
      <c r="E698" s="268" t="s">
        <v>217</v>
      </c>
      <c r="F698" s="268" t="s">
        <v>311</v>
      </c>
      <c r="G698">
        <v>81</v>
      </c>
      <c r="H698">
        <v>927</v>
      </c>
    </row>
    <row r="699" spans="2:8" x14ac:dyDescent="0.3">
      <c r="B699" s="268" t="s">
        <v>337</v>
      </c>
      <c r="C699" s="268" t="s">
        <v>338</v>
      </c>
      <c r="D699" s="268" t="s">
        <v>152</v>
      </c>
      <c r="E699" s="268" t="s">
        <v>217</v>
      </c>
      <c r="F699" s="268" t="s">
        <v>312</v>
      </c>
      <c r="G699">
        <v>82</v>
      </c>
      <c r="H699">
        <v>817</v>
      </c>
    </row>
    <row r="700" spans="2:8" x14ac:dyDescent="0.3">
      <c r="B700" s="268" t="s">
        <v>337</v>
      </c>
      <c r="C700" s="268" t="s">
        <v>338</v>
      </c>
      <c r="D700" s="268" t="s">
        <v>152</v>
      </c>
      <c r="E700" s="268" t="s">
        <v>217</v>
      </c>
      <c r="F700" s="268" t="s">
        <v>313</v>
      </c>
      <c r="G700">
        <v>83</v>
      </c>
      <c r="H700">
        <v>727</v>
      </c>
    </row>
    <row r="701" spans="2:8" x14ac:dyDescent="0.3">
      <c r="B701" s="268" t="s">
        <v>337</v>
      </c>
      <c r="C701" s="268" t="s">
        <v>338</v>
      </c>
      <c r="D701" s="268" t="s">
        <v>152</v>
      </c>
      <c r="E701" s="268" t="s">
        <v>217</v>
      </c>
      <c r="F701" s="268" t="s">
        <v>314</v>
      </c>
      <c r="G701">
        <v>84</v>
      </c>
      <c r="H701">
        <v>626</v>
      </c>
    </row>
    <row r="702" spans="2:8" x14ac:dyDescent="0.3">
      <c r="B702" s="268" t="s">
        <v>337</v>
      </c>
      <c r="C702" s="268" t="s">
        <v>338</v>
      </c>
      <c r="D702" s="268" t="s">
        <v>152</v>
      </c>
      <c r="E702" s="268" t="s">
        <v>217</v>
      </c>
      <c r="F702" s="268" t="s">
        <v>315</v>
      </c>
      <c r="G702">
        <v>85</v>
      </c>
      <c r="H702">
        <v>567</v>
      </c>
    </row>
    <row r="703" spans="2:8" x14ac:dyDescent="0.3">
      <c r="B703" s="268" t="s">
        <v>337</v>
      </c>
      <c r="C703" s="268" t="s">
        <v>338</v>
      </c>
      <c r="D703" s="268" t="s">
        <v>152</v>
      </c>
      <c r="E703" s="268" t="s">
        <v>217</v>
      </c>
      <c r="F703" s="268" t="s">
        <v>316</v>
      </c>
      <c r="G703">
        <v>86</v>
      </c>
      <c r="H703">
        <v>500</v>
      </c>
    </row>
    <row r="704" spans="2:8" x14ac:dyDescent="0.3">
      <c r="B704" s="268" t="s">
        <v>337</v>
      </c>
      <c r="C704" s="268" t="s">
        <v>338</v>
      </c>
      <c r="D704" s="268" t="s">
        <v>152</v>
      </c>
      <c r="E704" s="268" t="s">
        <v>217</v>
      </c>
      <c r="F704" s="268" t="s">
        <v>317</v>
      </c>
      <c r="G704">
        <v>87</v>
      </c>
      <c r="H704">
        <v>422</v>
      </c>
    </row>
    <row r="705" spans="1:8" x14ac:dyDescent="0.3">
      <c r="B705" s="268" t="s">
        <v>337</v>
      </c>
      <c r="C705" s="268" t="s">
        <v>338</v>
      </c>
      <c r="D705" s="268" t="s">
        <v>152</v>
      </c>
      <c r="E705" s="268" t="s">
        <v>217</v>
      </c>
      <c r="F705" s="268" t="s">
        <v>318</v>
      </c>
      <c r="G705">
        <v>88</v>
      </c>
      <c r="H705">
        <v>366</v>
      </c>
    </row>
    <row r="706" spans="1:8" x14ac:dyDescent="0.3">
      <c r="B706" s="268" t="s">
        <v>337</v>
      </c>
      <c r="C706" s="268" t="s">
        <v>338</v>
      </c>
      <c r="D706" s="268" t="s">
        <v>152</v>
      </c>
      <c r="E706" s="268" t="s">
        <v>217</v>
      </c>
      <c r="F706" s="268" t="s">
        <v>319</v>
      </c>
      <c r="G706">
        <v>89</v>
      </c>
      <c r="H706">
        <v>319</v>
      </c>
    </row>
    <row r="707" spans="1:8" x14ac:dyDescent="0.3">
      <c r="B707" s="268" t="s">
        <v>337</v>
      </c>
      <c r="C707" s="268" t="s">
        <v>338</v>
      </c>
      <c r="D707" s="268" t="s">
        <v>152</v>
      </c>
      <c r="E707" s="268" t="s">
        <v>217</v>
      </c>
      <c r="F707" s="268" t="s">
        <v>320</v>
      </c>
      <c r="G707">
        <v>90</v>
      </c>
      <c r="H707">
        <v>292</v>
      </c>
    </row>
    <row r="708" spans="1:8" x14ac:dyDescent="0.3">
      <c r="B708" s="268" t="s">
        <v>337</v>
      </c>
      <c r="C708" s="268" t="s">
        <v>338</v>
      </c>
      <c r="D708" s="268" t="s">
        <v>152</v>
      </c>
      <c r="E708" s="268" t="s">
        <v>217</v>
      </c>
      <c r="F708" s="268" t="s">
        <v>321</v>
      </c>
      <c r="G708">
        <v>91</v>
      </c>
      <c r="H708">
        <v>235</v>
      </c>
    </row>
    <row r="709" spans="1:8" x14ac:dyDescent="0.3">
      <c r="B709" s="268" t="s">
        <v>337</v>
      </c>
      <c r="C709" s="268" t="s">
        <v>338</v>
      </c>
      <c r="D709" s="268" t="s">
        <v>152</v>
      </c>
      <c r="E709" s="268" t="s">
        <v>217</v>
      </c>
      <c r="F709" s="268" t="s">
        <v>322</v>
      </c>
      <c r="G709">
        <v>92</v>
      </c>
      <c r="H709">
        <v>187</v>
      </c>
    </row>
    <row r="710" spans="1:8" x14ac:dyDescent="0.3">
      <c r="B710" s="268" t="s">
        <v>337</v>
      </c>
      <c r="C710" s="268" t="s">
        <v>338</v>
      </c>
      <c r="D710" s="268" t="s">
        <v>152</v>
      </c>
      <c r="E710" s="268" t="s">
        <v>217</v>
      </c>
      <c r="F710" s="268" t="s">
        <v>323</v>
      </c>
      <c r="G710">
        <v>93</v>
      </c>
      <c r="H710">
        <v>143</v>
      </c>
    </row>
    <row r="711" spans="1:8" x14ac:dyDescent="0.3">
      <c r="B711" s="268" t="s">
        <v>337</v>
      </c>
      <c r="C711" s="268" t="s">
        <v>338</v>
      </c>
      <c r="D711" s="268" t="s">
        <v>152</v>
      </c>
      <c r="E711" s="268" t="s">
        <v>217</v>
      </c>
      <c r="F711" s="268" t="s">
        <v>324</v>
      </c>
      <c r="G711">
        <v>94</v>
      </c>
      <c r="H711">
        <v>125</v>
      </c>
    </row>
    <row r="712" spans="1:8" x14ac:dyDescent="0.3">
      <c r="B712" s="268" t="s">
        <v>337</v>
      </c>
      <c r="C712" s="268" t="s">
        <v>338</v>
      </c>
      <c r="D712" s="268" t="s">
        <v>152</v>
      </c>
      <c r="E712" s="268" t="s">
        <v>217</v>
      </c>
      <c r="F712" s="268" t="s">
        <v>325</v>
      </c>
      <c r="G712">
        <v>95</v>
      </c>
      <c r="H712">
        <v>99</v>
      </c>
    </row>
    <row r="713" spans="1:8" x14ac:dyDescent="0.3">
      <c r="B713" s="268" t="s">
        <v>337</v>
      </c>
      <c r="C713" s="268" t="s">
        <v>338</v>
      </c>
      <c r="D713" s="268" t="s">
        <v>152</v>
      </c>
      <c r="E713" s="268" t="s">
        <v>217</v>
      </c>
      <c r="F713" s="268" t="s">
        <v>326</v>
      </c>
      <c r="G713">
        <v>96</v>
      </c>
      <c r="H713">
        <v>71</v>
      </c>
    </row>
    <row r="714" spans="1:8" x14ac:dyDescent="0.3">
      <c r="B714" s="268" t="s">
        <v>337</v>
      </c>
      <c r="C714" s="268" t="s">
        <v>338</v>
      </c>
      <c r="D714" s="268" t="s">
        <v>152</v>
      </c>
      <c r="E714" s="268" t="s">
        <v>217</v>
      </c>
      <c r="F714" s="268" t="s">
        <v>327</v>
      </c>
      <c r="G714">
        <v>97</v>
      </c>
      <c r="H714">
        <v>53</v>
      </c>
    </row>
    <row r="715" spans="1:8" x14ac:dyDescent="0.3">
      <c r="B715" s="268" t="s">
        <v>337</v>
      </c>
      <c r="C715" s="268" t="s">
        <v>338</v>
      </c>
      <c r="D715" s="268" t="s">
        <v>152</v>
      </c>
      <c r="E715" s="268" t="s">
        <v>217</v>
      </c>
      <c r="F715" s="268" t="s">
        <v>328</v>
      </c>
      <c r="G715">
        <v>98</v>
      </c>
      <c r="H715">
        <v>41</v>
      </c>
    </row>
    <row r="716" spans="1:8" x14ac:dyDescent="0.3">
      <c r="B716" s="268" t="s">
        <v>337</v>
      </c>
      <c r="C716" s="268" t="s">
        <v>338</v>
      </c>
      <c r="D716" s="268" t="s">
        <v>152</v>
      </c>
      <c r="E716" s="268" t="s">
        <v>217</v>
      </c>
      <c r="F716" s="268" t="s">
        <v>329</v>
      </c>
      <c r="G716">
        <v>99</v>
      </c>
      <c r="H716">
        <v>28</v>
      </c>
    </row>
    <row r="717" spans="1:8" x14ac:dyDescent="0.3">
      <c r="B717" s="268" t="s">
        <v>337</v>
      </c>
      <c r="C717" s="268" t="s">
        <v>338</v>
      </c>
      <c r="D717" s="268" t="s">
        <v>152</v>
      </c>
      <c r="E717" s="268" t="s">
        <v>217</v>
      </c>
      <c r="F717" s="268" t="s">
        <v>330</v>
      </c>
      <c r="G717" t="s">
        <v>331</v>
      </c>
      <c r="H717">
        <v>39</v>
      </c>
    </row>
    <row r="718" spans="1:8" x14ac:dyDescent="0.3">
      <c r="A718" s="268" t="s">
        <v>70</v>
      </c>
      <c r="B718" s="268" t="s">
        <v>337</v>
      </c>
      <c r="C718" s="268" t="s">
        <v>338</v>
      </c>
      <c r="D718" s="268" t="s">
        <v>152</v>
      </c>
      <c r="E718" s="268" t="s">
        <v>217</v>
      </c>
      <c r="H718">
        <v>397332</v>
      </c>
    </row>
    <row r="719" spans="1:8" x14ac:dyDescent="0.3">
      <c r="B719" s="268" t="s">
        <v>337</v>
      </c>
      <c r="C719" s="268" t="s">
        <v>338</v>
      </c>
      <c r="D719" s="268" t="s">
        <v>151</v>
      </c>
      <c r="E719" s="268" t="s">
        <v>332</v>
      </c>
      <c r="F719" s="268" t="s">
        <v>218</v>
      </c>
      <c r="G719">
        <v>0</v>
      </c>
      <c r="H719">
        <v>5660</v>
      </c>
    </row>
    <row r="720" spans="1:8" x14ac:dyDescent="0.3">
      <c r="B720" s="268" t="s">
        <v>337</v>
      </c>
      <c r="C720" s="268" t="s">
        <v>338</v>
      </c>
      <c r="D720" s="268" t="s">
        <v>151</v>
      </c>
      <c r="E720" s="268" t="s">
        <v>332</v>
      </c>
      <c r="F720" s="268" t="s">
        <v>220</v>
      </c>
      <c r="G720">
        <v>1</v>
      </c>
      <c r="H720">
        <v>5635</v>
      </c>
    </row>
    <row r="721" spans="2:8" x14ac:dyDescent="0.3">
      <c r="B721" s="268" t="s">
        <v>337</v>
      </c>
      <c r="C721" s="268" t="s">
        <v>338</v>
      </c>
      <c r="D721" s="268" t="s">
        <v>151</v>
      </c>
      <c r="E721" s="268" t="s">
        <v>332</v>
      </c>
      <c r="F721" s="268" t="s">
        <v>221</v>
      </c>
      <c r="G721">
        <v>2</v>
      </c>
      <c r="H721">
        <v>5593</v>
      </c>
    </row>
    <row r="722" spans="2:8" x14ac:dyDescent="0.3">
      <c r="B722" s="268" t="s">
        <v>337</v>
      </c>
      <c r="C722" s="268" t="s">
        <v>338</v>
      </c>
      <c r="D722" s="268" t="s">
        <v>151</v>
      </c>
      <c r="E722" s="268" t="s">
        <v>332</v>
      </c>
      <c r="F722" s="268" t="s">
        <v>223</v>
      </c>
      <c r="G722">
        <v>3</v>
      </c>
      <c r="H722">
        <v>5545</v>
      </c>
    </row>
    <row r="723" spans="2:8" x14ac:dyDescent="0.3">
      <c r="B723" s="268" t="s">
        <v>337</v>
      </c>
      <c r="C723" s="268" t="s">
        <v>338</v>
      </c>
      <c r="D723" s="268" t="s">
        <v>151</v>
      </c>
      <c r="E723" s="268" t="s">
        <v>332</v>
      </c>
      <c r="F723" s="268" t="s">
        <v>225</v>
      </c>
      <c r="G723">
        <v>4</v>
      </c>
      <c r="H723">
        <v>5473</v>
      </c>
    </row>
    <row r="724" spans="2:8" x14ac:dyDescent="0.3">
      <c r="B724" s="268" t="s">
        <v>337</v>
      </c>
      <c r="C724" s="268" t="s">
        <v>338</v>
      </c>
      <c r="D724" s="268" t="s">
        <v>151</v>
      </c>
      <c r="E724" s="268" t="s">
        <v>332</v>
      </c>
      <c r="F724" s="268" t="s">
        <v>226</v>
      </c>
      <c r="G724">
        <v>5</v>
      </c>
      <c r="H724">
        <v>5393</v>
      </c>
    </row>
    <row r="725" spans="2:8" x14ac:dyDescent="0.3">
      <c r="B725" s="268" t="s">
        <v>337</v>
      </c>
      <c r="C725" s="268" t="s">
        <v>338</v>
      </c>
      <c r="D725" s="268" t="s">
        <v>151</v>
      </c>
      <c r="E725" s="268" t="s">
        <v>332</v>
      </c>
      <c r="F725" s="268" t="s">
        <v>227</v>
      </c>
      <c r="G725">
        <v>6</v>
      </c>
      <c r="H725">
        <v>5308</v>
      </c>
    </row>
    <row r="726" spans="2:8" x14ac:dyDescent="0.3">
      <c r="B726" s="268" t="s">
        <v>337</v>
      </c>
      <c r="C726" s="268" t="s">
        <v>338</v>
      </c>
      <c r="D726" s="268" t="s">
        <v>151</v>
      </c>
      <c r="E726" s="268" t="s">
        <v>332</v>
      </c>
      <c r="F726" s="268" t="s">
        <v>229</v>
      </c>
      <c r="G726">
        <v>7</v>
      </c>
      <c r="H726">
        <v>6395</v>
      </c>
    </row>
    <row r="727" spans="2:8" x14ac:dyDescent="0.3">
      <c r="B727" s="268" t="s">
        <v>337</v>
      </c>
      <c r="C727" s="268" t="s">
        <v>338</v>
      </c>
      <c r="D727" s="268" t="s">
        <v>151</v>
      </c>
      <c r="E727" s="268" t="s">
        <v>332</v>
      </c>
      <c r="F727" s="268" t="s">
        <v>230</v>
      </c>
      <c r="G727">
        <v>8</v>
      </c>
      <c r="H727">
        <v>6396</v>
      </c>
    </row>
    <row r="728" spans="2:8" x14ac:dyDescent="0.3">
      <c r="B728" s="268" t="s">
        <v>337</v>
      </c>
      <c r="C728" s="268" t="s">
        <v>338</v>
      </c>
      <c r="D728" s="268" t="s">
        <v>151</v>
      </c>
      <c r="E728" s="268" t="s">
        <v>332</v>
      </c>
      <c r="F728" s="268" t="s">
        <v>231</v>
      </c>
      <c r="G728">
        <v>9</v>
      </c>
      <c r="H728">
        <v>6364</v>
      </c>
    </row>
    <row r="729" spans="2:8" x14ac:dyDescent="0.3">
      <c r="B729" s="268" t="s">
        <v>337</v>
      </c>
      <c r="C729" s="268" t="s">
        <v>338</v>
      </c>
      <c r="D729" s="268" t="s">
        <v>151</v>
      </c>
      <c r="E729" s="268" t="s">
        <v>332</v>
      </c>
      <c r="F729" s="268" t="s">
        <v>233</v>
      </c>
      <c r="G729">
        <v>10</v>
      </c>
      <c r="H729">
        <v>6213</v>
      </c>
    </row>
    <row r="730" spans="2:8" x14ac:dyDescent="0.3">
      <c r="B730" s="268" t="s">
        <v>337</v>
      </c>
      <c r="C730" s="268" t="s">
        <v>338</v>
      </c>
      <c r="D730" s="268" t="s">
        <v>151</v>
      </c>
      <c r="E730" s="268" t="s">
        <v>332</v>
      </c>
      <c r="F730" s="268" t="s">
        <v>234</v>
      </c>
      <c r="G730">
        <v>11</v>
      </c>
      <c r="H730">
        <v>6149</v>
      </c>
    </row>
    <row r="731" spans="2:8" x14ac:dyDescent="0.3">
      <c r="B731" s="268" t="s">
        <v>337</v>
      </c>
      <c r="C731" s="268" t="s">
        <v>338</v>
      </c>
      <c r="D731" s="268" t="s">
        <v>151</v>
      </c>
      <c r="E731" s="268" t="s">
        <v>332</v>
      </c>
      <c r="F731" s="268" t="s">
        <v>235</v>
      </c>
      <c r="G731">
        <v>12</v>
      </c>
      <c r="H731">
        <v>6336</v>
      </c>
    </row>
    <row r="732" spans="2:8" x14ac:dyDescent="0.3">
      <c r="B732" s="268" t="s">
        <v>337</v>
      </c>
      <c r="C732" s="268" t="s">
        <v>338</v>
      </c>
      <c r="D732" s="268" t="s">
        <v>151</v>
      </c>
      <c r="E732" s="268" t="s">
        <v>332</v>
      </c>
      <c r="F732" s="268" t="s">
        <v>237</v>
      </c>
      <c r="G732">
        <v>13</v>
      </c>
      <c r="H732">
        <v>6257</v>
      </c>
    </row>
    <row r="733" spans="2:8" x14ac:dyDescent="0.3">
      <c r="B733" s="268" t="s">
        <v>337</v>
      </c>
      <c r="C733" s="268" t="s">
        <v>338</v>
      </c>
      <c r="D733" s="268" t="s">
        <v>151</v>
      </c>
      <c r="E733" s="268" t="s">
        <v>332</v>
      </c>
      <c r="F733" s="268" t="s">
        <v>239</v>
      </c>
      <c r="G733">
        <v>14</v>
      </c>
      <c r="H733">
        <v>6164</v>
      </c>
    </row>
    <row r="734" spans="2:8" x14ac:dyDescent="0.3">
      <c r="B734" s="268" t="s">
        <v>337</v>
      </c>
      <c r="C734" s="268" t="s">
        <v>338</v>
      </c>
      <c r="D734" s="268" t="s">
        <v>151</v>
      </c>
      <c r="E734" s="268" t="s">
        <v>332</v>
      </c>
      <c r="F734" s="268" t="s">
        <v>241</v>
      </c>
      <c r="G734">
        <v>15</v>
      </c>
      <c r="H734">
        <v>6155</v>
      </c>
    </row>
    <row r="735" spans="2:8" x14ac:dyDescent="0.3">
      <c r="B735" s="268" t="s">
        <v>337</v>
      </c>
      <c r="C735" s="268" t="s">
        <v>338</v>
      </c>
      <c r="D735" s="268" t="s">
        <v>151</v>
      </c>
      <c r="E735" s="268" t="s">
        <v>332</v>
      </c>
      <c r="F735" s="268" t="s">
        <v>243</v>
      </c>
      <c r="G735">
        <v>16</v>
      </c>
      <c r="H735">
        <v>5941</v>
      </c>
    </row>
    <row r="736" spans="2:8" x14ac:dyDescent="0.3">
      <c r="B736" s="268" t="s">
        <v>337</v>
      </c>
      <c r="C736" s="268" t="s">
        <v>338</v>
      </c>
      <c r="D736" s="268" t="s">
        <v>151</v>
      </c>
      <c r="E736" s="268" t="s">
        <v>332</v>
      </c>
      <c r="F736" s="268" t="s">
        <v>245</v>
      </c>
      <c r="G736">
        <v>17</v>
      </c>
      <c r="H736">
        <v>5944</v>
      </c>
    </row>
    <row r="737" spans="2:8" x14ac:dyDescent="0.3">
      <c r="B737" s="268" t="s">
        <v>337</v>
      </c>
      <c r="C737" s="268" t="s">
        <v>338</v>
      </c>
      <c r="D737" s="268" t="s">
        <v>151</v>
      </c>
      <c r="E737" s="268" t="s">
        <v>332</v>
      </c>
      <c r="F737" s="268" t="s">
        <v>247</v>
      </c>
      <c r="G737">
        <v>18</v>
      </c>
      <c r="H737">
        <v>5867</v>
      </c>
    </row>
    <row r="738" spans="2:8" x14ac:dyDescent="0.3">
      <c r="B738" s="268" t="s">
        <v>337</v>
      </c>
      <c r="C738" s="268" t="s">
        <v>338</v>
      </c>
      <c r="D738" s="268" t="s">
        <v>151</v>
      </c>
      <c r="E738" s="268" t="s">
        <v>332</v>
      </c>
      <c r="F738" s="268" t="s">
        <v>249</v>
      </c>
      <c r="G738">
        <v>19</v>
      </c>
      <c r="H738">
        <v>5905</v>
      </c>
    </row>
    <row r="739" spans="2:8" x14ac:dyDescent="0.3">
      <c r="B739" s="268" t="s">
        <v>337</v>
      </c>
      <c r="C739" s="268" t="s">
        <v>338</v>
      </c>
      <c r="D739" s="268" t="s">
        <v>151</v>
      </c>
      <c r="E739" s="268" t="s">
        <v>332</v>
      </c>
      <c r="F739" s="268" t="s">
        <v>250</v>
      </c>
      <c r="G739">
        <v>20</v>
      </c>
      <c r="H739">
        <v>6171</v>
      </c>
    </row>
    <row r="740" spans="2:8" x14ac:dyDescent="0.3">
      <c r="B740" s="268" t="s">
        <v>337</v>
      </c>
      <c r="C740" s="268" t="s">
        <v>338</v>
      </c>
      <c r="D740" s="268" t="s">
        <v>151</v>
      </c>
      <c r="E740" s="268" t="s">
        <v>332</v>
      </c>
      <c r="F740" s="268" t="s">
        <v>251</v>
      </c>
      <c r="G740">
        <v>21</v>
      </c>
      <c r="H740">
        <v>6079</v>
      </c>
    </row>
    <row r="741" spans="2:8" x14ac:dyDescent="0.3">
      <c r="B741" s="268" t="s">
        <v>337</v>
      </c>
      <c r="C741" s="268" t="s">
        <v>338</v>
      </c>
      <c r="D741" s="268" t="s">
        <v>151</v>
      </c>
      <c r="E741" s="268" t="s">
        <v>332</v>
      </c>
      <c r="F741" s="268" t="s">
        <v>252</v>
      </c>
      <c r="G741">
        <v>22</v>
      </c>
      <c r="H741">
        <v>6037</v>
      </c>
    </row>
    <row r="742" spans="2:8" x14ac:dyDescent="0.3">
      <c r="B742" s="268" t="s">
        <v>337</v>
      </c>
      <c r="C742" s="268" t="s">
        <v>338</v>
      </c>
      <c r="D742" s="268" t="s">
        <v>151</v>
      </c>
      <c r="E742" s="268" t="s">
        <v>332</v>
      </c>
      <c r="F742" s="268" t="s">
        <v>253</v>
      </c>
      <c r="G742">
        <v>23</v>
      </c>
      <c r="H742">
        <v>6022</v>
      </c>
    </row>
    <row r="743" spans="2:8" x14ac:dyDescent="0.3">
      <c r="B743" s="268" t="s">
        <v>337</v>
      </c>
      <c r="C743" s="268" t="s">
        <v>338</v>
      </c>
      <c r="D743" s="268" t="s">
        <v>151</v>
      </c>
      <c r="E743" s="268" t="s">
        <v>332</v>
      </c>
      <c r="F743" s="268" t="s">
        <v>254</v>
      </c>
      <c r="G743">
        <v>24</v>
      </c>
      <c r="H743">
        <v>6156</v>
      </c>
    </row>
    <row r="744" spans="2:8" x14ac:dyDescent="0.3">
      <c r="B744" s="268" t="s">
        <v>337</v>
      </c>
      <c r="C744" s="268" t="s">
        <v>338</v>
      </c>
      <c r="D744" s="268" t="s">
        <v>151</v>
      </c>
      <c r="E744" s="268" t="s">
        <v>332</v>
      </c>
      <c r="F744" s="268" t="s">
        <v>255</v>
      </c>
      <c r="G744">
        <v>25</v>
      </c>
      <c r="H744">
        <v>6219</v>
      </c>
    </row>
    <row r="745" spans="2:8" x14ac:dyDescent="0.3">
      <c r="B745" s="268" t="s">
        <v>337</v>
      </c>
      <c r="C745" s="268" t="s">
        <v>338</v>
      </c>
      <c r="D745" s="268" t="s">
        <v>151</v>
      </c>
      <c r="E745" s="268" t="s">
        <v>332</v>
      </c>
      <c r="F745" s="268" t="s">
        <v>256</v>
      </c>
      <c r="G745">
        <v>26</v>
      </c>
      <c r="H745">
        <v>6394</v>
      </c>
    </row>
    <row r="746" spans="2:8" x14ac:dyDescent="0.3">
      <c r="B746" s="268" t="s">
        <v>337</v>
      </c>
      <c r="C746" s="268" t="s">
        <v>338</v>
      </c>
      <c r="D746" s="268" t="s">
        <v>151</v>
      </c>
      <c r="E746" s="268" t="s">
        <v>332</v>
      </c>
      <c r="F746" s="268" t="s">
        <v>257</v>
      </c>
      <c r="G746">
        <v>27</v>
      </c>
      <c r="H746">
        <v>6670</v>
      </c>
    </row>
    <row r="747" spans="2:8" x14ac:dyDescent="0.3">
      <c r="B747" s="268" t="s">
        <v>337</v>
      </c>
      <c r="C747" s="268" t="s">
        <v>338</v>
      </c>
      <c r="D747" s="268" t="s">
        <v>151</v>
      </c>
      <c r="E747" s="268" t="s">
        <v>332</v>
      </c>
      <c r="F747" s="268" t="s">
        <v>258</v>
      </c>
      <c r="G747">
        <v>28</v>
      </c>
      <c r="H747">
        <v>7010</v>
      </c>
    </row>
    <row r="748" spans="2:8" x14ac:dyDescent="0.3">
      <c r="B748" s="268" t="s">
        <v>337</v>
      </c>
      <c r="C748" s="268" t="s">
        <v>338</v>
      </c>
      <c r="D748" s="268" t="s">
        <v>151</v>
      </c>
      <c r="E748" s="268" t="s">
        <v>332</v>
      </c>
      <c r="F748" s="268" t="s">
        <v>259</v>
      </c>
      <c r="G748">
        <v>29</v>
      </c>
      <c r="H748">
        <v>7666</v>
      </c>
    </row>
    <row r="749" spans="2:8" x14ac:dyDescent="0.3">
      <c r="B749" s="268" t="s">
        <v>337</v>
      </c>
      <c r="C749" s="268" t="s">
        <v>338</v>
      </c>
      <c r="D749" s="268" t="s">
        <v>151</v>
      </c>
      <c r="E749" s="268" t="s">
        <v>332</v>
      </c>
      <c r="F749" s="268" t="s">
        <v>260</v>
      </c>
      <c r="G749">
        <v>30</v>
      </c>
      <c r="H749">
        <v>7912</v>
      </c>
    </row>
    <row r="750" spans="2:8" x14ac:dyDescent="0.3">
      <c r="B750" s="268" t="s">
        <v>337</v>
      </c>
      <c r="C750" s="268" t="s">
        <v>338</v>
      </c>
      <c r="D750" s="268" t="s">
        <v>151</v>
      </c>
      <c r="E750" s="268" t="s">
        <v>332</v>
      </c>
      <c r="F750" s="268" t="s">
        <v>261</v>
      </c>
      <c r="G750">
        <v>31</v>
      </c>
      <c r="H750">
        <v>7563</v>
      </c>
    </row>
    <row r="751" spans="2:8" x14ac:dyDescent="0.3">
      <c r="B751" s="268" t="s">
        <v>337</v>
      </c>
      <c r="C751" s="268" t="s">
        <v>338</v>
      </c>
      <c r="D751" s="268" t="s">
        <v>151</v>
      </c>
      <c r="E751" s="268" t="s">
        <v>332</v>
      </c>
      <c r="F751" s="268" t="s">
        <v>262</v>
      </c>
      <c r="G751">
        <v>32</v>
      </c>
      <c r="H751">
        <v>7659</v>
      </c>
    </row>
    <row r="752" spans="2:8" x14ac:dyDescent="0.3">
      <c r="B752" s="268" t="s">
        <v>337</v>
      </c>
      <c r="C752" s="268" t="s">
        <v>338</v>
      </c>
      <c r="D752" s="268" t="s">
        <v>151</v>
      </c>
      <c r="E752" s="268" t="s">
        <v>332</v>
      </c>
      <c r="F752" s="268" t="s">
        <v>263</v>
      </c>
      <c r="G752">
        <v>33</v>
      </c>
      <c r="H752">
        <v>7426</v>
      </c>
    </row>
    <row r="753" spans="2:8" x14ac:dyDescent="0.3">
      <c r="B753" s="268" t="s">
        <v>337</v>
      </c>
      <c r="C753" s="268" t="s">
        <v>338</v>
      </c>
      <c r="D753" s="268" t="s">
        <v>151</v>
      </c>
      <c r="E753" s="268" t="s">
        <v>332</v>
      </c>
      <c r="F753" s="268" t="s">
        <v>264</v>
      </c>
      <c r="G753">
        <v>34</v>
      </c>
      <c r="H753">
        <v>7578</v>
      </c>
    </row>
    <row r="754" spans="2:8" x14ac:dyDescent="0.3">
      <c r="B754" s="268" t="s">
        <v>337</v>
      </c>
      <c r="C754" s="268" t="s">
        <v>338</v>
      </c>
      <c r="D754" s="268" t="s">
        <v>151</v>
      </c>
      <c r="E754" s="268" t="s">
        <v>332</v>
      </c>
      <c r="F754" s="268" t="s">
        <v>265</v>
      </c>
      <c r="G754">
        <v>35</v>
      </c>
      <c r="H754">
        <v>7412</v>
      </c>
    </row>
    <row r="755" spans="2:8" x14ac:dyDescent="0.3">
      <c r="B755" s="268" t="s">
        <v>337</v>
      </c>
      <c r="C755" s="268" t="s">
        <v>338</v>
      </c>
      <c r="D755" s="268" t="s">
        <v>151</v>
      </c>
      <c r="E755" s="268" t="s">
        <v>332</v>
      </c>
      <c r="F755" s="268" t="s">
        <v>266</v>
      </c>
      <c r="G755">
        <v>36</v>
      </c>
      <c r="H755">
        <v>7067</v>
      </c>
    </row>
    <row r="756" spans="2:8" x14ac:dyDescent="0.3">
      <c r="B756" s="268" t="s">
        <v>337</v>
      </c>
      <c r="C756" s="268" t="s">
        <v>338</v>
      </c>
      <c r="D756" s="268" t="s">
        <v>151</v>
      </c>
      <c r="E756" s="268" t="s">
        <v>332</v>
      </c>
      <c r="F756" s="268" t="s">
        <v>267</v>
      </c>
      <c r="G756">
        <v>37</v>
      </c>
      <c r="H756">
        <v>7038</v>
      </c>
    </row>
    <row r="757" spans="2:8" x14ac:dyDescent="0.3">
      <c r="B757" s="268" t="s">
        <v>337</v>
      </c>
      <c r="C757" s="268" t="s">
        <v>338</v>
      </c>
      <c r="D757" s="268" t="s">
        <v>151</v>
      </c>
      <c r="E757" s="268" t="s">
        <v>332</v>
      </c>
      <c r="F757" s="268" t="s">
        <v>268</v>
      </c>
      <c r="G757">
        <v>38</v>
      </c>
      <c r="H757">
        <v>6971</v>
      </c>
    </row>
    <row r="758" spans="2:8" x14ac:dyDescent="0.3">
      <c r="B758" s="268" t="s">
        <v>337</v>
      </c>
      <c r="C758" s="268" t="s">
        <v>338</v>
      </c>
      <c r="D758" s="268" t="s">
        <v>151</v>
      </c>
      <c r="E758" s="268" t="s">
        <v>332</v>
      </c>
      <c r="F758" s="268" t="s">
        <v>269</v>
      </c>
      <c r="G758">
        <v>39</v>
      </c>
      <c r="H758">
        <v>6800</v>
      </c>
    </row>
    <row r="759" spans="2:8" x14ac:dyDescent="0.3">
      <c r="B759" s="268" t="s">
        <v>337</v>
      </c>
      <c r="C759" s="268" t="s">
        <v>338</v>
      </c>
      <c r="D759" s="268" t="s">
        <v>151</v>
      </c>
      <c r="E759" s="268" t="s">
        <v>332</v>
      </c>
      <c r="F759" s="268" t="s">
        <v>270</v>
      </c>
      <c r="G759">
        <v>40</v>
      </c>
      <c r="H759">
        <v>6977</v>
      </c>
    </row>
    <row r="760" spans="2:8" x14ac:dyDescent="0.3">
      <c r="B760" s="268" t="s">
        <v>337</v>
      </c>
      <c r="C760" s="268" t="s">
        <v>338</v>
      </c>
      <c r="D760" s="268" t="s">
        <v>151</v>
      </c>
      <c r="E760" s="268" t="s">
        <v>332</v>
      </c>
      <c r="F760" s="268" t="s">
        <v>271</v>
      </c>
      <c r="G760">
        <v>41</v>
      </c>
      <c r="H760">
        <v>6160</v>
      </c>
    </row>
    <row r="761" spans="2:8" x14ac:dyDescent="0.3">
      <c r="B761" s="268" t="s">
        <v>337</v>
      </c>
      <c r="C761" s="268" t="s">
        <v>338</v>
      </c>
      <c r="D761" s="268" t="s">
        <v>151</v>
      </c>
      <c r="E761" s="268" t="s">
        <v>332</v>
      </c>
      <c r="F761" s="268" t="s">
        <v>272</v>
      </c>
      <c r="G761">
        <v>42</v>
      </c>
      <c r="H761">
        <v>5925</v>
      </c>
    </row>
    <row r="762" spans="2:8" x14ac:dyDescent="0.3">
      <c r="B762" s="268" t="s">
        <v>337</v>
      </c>
      <c r="C762" s="268" t="s">
        <v>338</v>
      </c>
      <c r="D762" s="268" t="s">
        <v>151</v>
      </c>
      <c r="E762" s="268" t="s">
        <v>332</v>
      </c>
      <c r="F762" s="268" t="s">
        <v>273</v>
      </c>
      <c r="G762">
        <v>43</v>
      </c>
      <c r="H762">
        <v>5881</v>
      </c>
    </row>
    <row r="763" spans="2:8" x14ac:dyDescent="0.3">
      <c r="B763" s="268" t="s">
        <v>337</v>
      </c>
      <c r="C763" s="268" t="s">
        <v>338</v>
      </c>
      <c r="D763" s="268" t="s">
        <v>151</v>
      </c>
      <c r="E763" s="268" t="s">
        <v>332</v>
      </c>
      <c r="F763" s="268" t="s">
        <v>274</v>
      </c>
      <c r="G763">
        <v>44</v>
      </c>
      <c r="H763">
        <v>5509</v>
      </c>
    </row>
    <row r="764" spans="2:8" x14ac:dyDescent="0.3">
      <c r="B764" s="268" t="s">
        <v>337</v>
      </c>
      <c r="C764" s="268" t="s">
        <v>338</v>
      </c>
      <c r="D764" s="268" t="s">
        <v>151</v>
      </c>
      <c r="E764" s="268" t="s">
        <v>332</v>
      </c>
      <c r="F764" s="268" t="s">
        <v>275</v>
      </c>
      <c r="G764">
        <v>45</v>
      </c>
      <c r="H764">
        <v>5697</v>
      </c>
    </row>
    <row r="765" spans="2:8" x14ac:dyDescent="0.3">
      <c r="B765" s="268" t="s">
        <v>337</v>
      </c>
      <c r="C765" s="268" t="s">
        <v>338</v>
      </c>
      <c r="D765" s="268" t="s">
        <v>151</v>
      </c>
      <c r="E765" s="268" t="s">
        <v>332</v>
      </c>
      <c r="F765" s="268" t="s">
        <v>276</v>
      </c>
      <c r="G765">
        <v>46</v>
      </c>
      <c r="H765">
        <v>5127</v>
      </c>
    </row>
    <row r="766" spans="2:8" x14ac:dyDescent="0.3">
      <c r="B766" s="268" t="s">
        <v>337</v>
      </c>
      <c r="C766" s="268" t="s">
        <v>338</v>
      </c>
      <c r="D766" s="268" t="s">
        <v>151</v>
      </c>
      <c r="E766" s="268" t="s">
        <v>332</v>
      </c>
      <c r="F766" s="268" t="s">
        <v>277</v>
      </c>
      <c r="G766">
        <v>47</v>
      </c>
      <c r="H766">
        <v>5043</v>
      </c>
    </row>
    <row r="767" spans="2:8" x14ac:dyDescent="0.3">
      <c r="B767" s="268" t="s">
        <v>337</v>
      </c>
      <c r="C767" s="268" t="s">
        <v>338</v>
      </c>
      <c r="D767" s="268" t="s">
        <v>151</v>
      </c>
      <c r="E767" s="268" t="s">
        <v>332</v>
      </c>
      <c r="F767" s="268" t="s">
        <v>278</v>
      </c>
      <c r="G767">
        <v>48</v>
      </c>
      <c r="H767">
        <v>4985</v>
      </c>
    </row>
    <row r="768" spans="2:8" x14ac:dyDescent="0.3">
      <c r="B768" s="268" t="s">
        <v>337</v>
      </c>
      <c r="C768" s="268" t="s">
        <v>338</v>
      </c>
      <c r="D768" s="268" t="s">
        <v>151</v>
      </c>
      <c r="E768" s="268" t="s">
        <v>332</v>
      </c>
      <c r="F768" s="268" t="s">
        <v>279</v>
      </c>
      <c r="G768">
        <v>49</v>
      </c>
      <c r="H768">
        <v>4990</v>
      </c>
    </row>
    <row r="769" spans="2:8" x14ac:dyDescent="0.3">
      <c r="B769" s="268" t="s">
        <v>337</v>
      </c>
      <c r="C769" s="268" t="s">
        <v>338</v>
      </c>
      <c r="D769" s="268" t="s">
        <v>151</v>
      </c>
      <c r="E769" s="268" t="s">
        <v>332</v>
      </c>
      <c r="F769" s="268" t="s">
        <v>280</v>
      </c>
      <c r="G769">
        <v>50</v>
      </c>
      <c r="H769">
        <v>5125</v>
      </c>
    </row>
    <row r="770" spans="2:8" x14ac:dyDescent="0.3">
      <c r="B770" s="268" t="s">
        <v>337</v>
      </c>
      <c r="C770" s="268" t="s">
        <v>338</v>
      </c>
      <c r="D770" s="268" t="s">
        <v>151</v>
      </c>
      <c r="E770" s="268" t="s">
        <v>332</v>
      </c>
      <c r="F770" s="268" t="s">
        <v>281</v>
      </c>
      <c r="G770">
        <v>51</v>
      </c>
      <c r="H770">
        <v>4621</v>
      </c>
    </row>
    <row r="771" spans="2:8" x14ac:dyDescent="0.3">
      <c r="B771" s="268" t="s">
        <v>337</v>
      </c>
      <c r="C771" s="268" t="s">
        <v>338</v>
      </c>
      <c r="D771" s="268" t="s">
        <v>151</v>
      </c>
      <c r="E771" s="268" t="s">
        <v>332</v>
      </c>
      <c r="F771" s="268" t="s">
        <v>282</v>
      </c>
      <c r="G771">
        <v>52</v>
      </c>
      <c r="H771">
        <v>4525</v>
      </c>
    </row>
    <row r="772" spans="2:8" x14ac:dyDescent="0.3">
      <c r="B772" s="268" t="s">
        <v>337</v>
      </c>
      <c r="C772" s="268" t="s">
        <v>338</v>
      </c>
      <c r="D772" s="268" t="s">
        <v>151</v>
      </c>
      <c r="E772" s="268" t="s">
        <v>332</v>
      </c>
      <c r="F772" s="268" t="s">
        <v>283</v>
      </c>
      <c r="G772">
        <v>53</v>
      </c>
      <c r="H772">
        <v>4494</v>
      </c>
    </row>
    <row r="773" spans="2:8" x14ac:dyDescent="0.3">
      <c r="B773" s="268" t="s">
        <v>337</v>
      </c>
      <c r="C773" s="268" t="s">
        <v>338</v>
      </c>
      <c r="D773" s="268" t="s">
        <v>151</v>
      </c>
      <c r="E773" s="268" t="s">
        <v>332</v>
      </c>
      <c r="F773" s="268" t="s">
        <v>284</v>
      </c>
      <c r="G773">
        <v>54</v>
      </c>
      <c r="H773">
        <v>4339</v>
      </c>
    </row>
    <row r="774" spans="2:8" x14ac:dyDescent="0.3">
      <c r="B774" s="268" t="s">
        <v>337</v>
      </c>
      <c r="C774" s="268" t="s">
        <v>338</v>
      </c>
      <c r="D774" s="268" t="s">
        <v>151</v>
      </c>
      <c r="E774" s="268" t="s">
        <v>332</v>
      </c>
      <c r="F774" s="268" t="s">
        <v>285</v>
      </c>
      <c r="G774">
        <v>55</v>
      </c>
      <c r="H774">
        <v>4594</v>
      </c>
    </row>
    <row r="775" spans="2:8" x14ac:dyDescent="0.3">
      <c r="B775" s="268" t="s">
        <v>337</v>
      </c>
      <c r="C775" s="268" t="s">
        <v>338</v>
      </c>
      <c r="D775" s="268" t="s">
        <v>151</v>
      </c>
      <c r="E775" s="268" t="s">
        <v>332</v>
      </c>
      <c r="F775" s="268" t="s">
        <v>286</v>
      </c>
      <c r="G775">
        <v>56</v>
      </c>
      <c r="H775">
        <v>4327</v>
      </c>
    </row>
    <row r="776" spans="2:8" x14ac:dyDescent="0.3">
      <c r="B776" s="268" t="s">
        <v>337</v>
      </c>
      <c r="C776" s="268" t="s">
        <v>338</v>
      </c>
      <c r="D776" s="268" t="s">
        <v>151</v>
      </c>
      <c r="E776" s="268" t="s">
        <v>332</v>
      </c>
      <c r="F776" s="268" t="s">
        <v>287</v>
      </c>
      <c r="G776">
        <v>57</v>
      </c>
      <c r="H776">
        <v>4136</v>
      </c>
    </row>
    <row r="777" spans="2:8" x14ac:dyDescent="0.3">
      <c r="B777" s="268" t="s">
        <v>337</v>
      </c>
      <c r="C777" s="268" t="s">
        <v>338</v>
      </c>
      <c r="D777" s="268" t="s">
        <v>151</v>
      </c>
      <c r="E777" s="268" t="s">
        <v>332</v>
      </c>
      <c r="F777" s="268" t="s">
        <v>288</v>
      </c>
      <c r="G777">
        <v>58</v>
      </c>
      <c r="H777">
        <v>4188</v>
      </c>
    </row>
    <row r="778" spans="2:8" x14ac:dyDescent="0.3">
      <c r="B778" s="268" t="s">
        <v>337</v>
      </c>
      <c r="C778" s="268" t="s">
        <v>338</v>
      </c>
      <c r="D778" s="268" t="s">
        <v>151</v>
      </c>
      <c r="E778" s="268" t="s">
        <v>332</v>
      </c>
      <c r="F778" s="268" t="s">
        <v>289</v>
      </c>
      <c r="G778">
        <v>59</v>
      </c>
      <c r="H778">
        <v>4031</v>
      </c>
    </row>
    <row r="779" spans="2:8" x14ac:dyDescent="0.3">
      <c r="B779" s="268" t="s">
        <v>337</v>
      </c>
      <c r="C779" s="268" t="s">
        <v>338</v>
      </c>
      <c r="D779" s="268" t="s">
        <v>151</v>
      </c>
      <c r="E779" s="268" t="s">
        <v>332</v>
      </c>
      <c r="F779" s="268" t="s">
        <v>290</v>
      </c>
      <c r="G779">
        <v>60</v>
      </c>
      <c r="H779">
        <v>4058</v>
      </c>
    </row>
    <row r="780" spans="2:8" x14ac:dyDescent="0.3">
      <c r="B780" s="268" t="s">
        <v>337</v>
      </c>
      <c r="C780" s="268" t="s">
        <v>338</v>
      </c>
      <c r="D780" s="268" t="s">
        <v>151</v>
      </c>
      <c r="E780" s="268" t="s">
        <v>332</v>
      </c>
      <c r="F780" s="268" t="s">
        <v>291</v>
      </c>
      <c r="G780">
        <v>61</v>
      </c>
      <c r="H780">
        <v>3713</v>
      </c>
    </row>
    <row r="781" spans="2:8" x14ac:dyDescent="0.3">
      <c r="B781" s="268" t="s">
        <v>337</v>
      </c>
      <c r="C781" s="268" t="s">
        <v>338</v>
      </c>
      <c r="D781" s="268" t="s">
        <v>151</v>
      </c>
      <c r="E781" s="268" t="s">
        <v>332</v>
      </c>
      <c r="F781" s="268" t="s">
        <v>292</v>
      </c>
      <c r="G781">
        <v>62</v>
      </c>
      <c r="H781">
        <v>3511</v>
      </c>
    </row>
    <row r="782" spans="2:8" x14ac:dyDescent="0.3">
      <c r="B782" s="268" t="s">
        <v>337</v>
      </c>
      <c r="C782" s="268" t="s">
        <v>338</v>
      </c>
      <c r="D782" s="268" t="s">
        <v>151</v>
      </c>
      <c r="E782" s="268" t="s">
        <v>332</v>
      </c>
      <c r="F782" s="268" t="s">
        <v>293</v>
      </c>
      <c r="G782">
        <v>63</v>
      </c>
      <c r="H782">
        <v>3419</v>
      </c>
    </row>
    <row r="783" spans="2:8" x14ac:dyDescent="0.3">
      <c r="B783" s="268" t="s">
        <v>337</v>
      </c>
      <c r="C783" s="268" t="s">
        <v>338</v>
      </c>
      <c r="D783" s="268" t="s">
        <v>151</v>
      </c>
      <c r="E783" s="268" t="s">
        <v>332</v>
      </c>
      <c r="F783" s="268" t="s">
        <v>294</v>
      </c>
      <c r="G783">
        <v>64</v>
      </c>
      <c r="H783">
        <v>3144</v>
      </c>
    </row>
    <row r="784" spans="2:8" x14ac:dyDescent="0.3">
      <c r="B784" s="268" t="s">
        <v>337</v>
      </c>
      <c r="C784" s="268" t="s">
        <v>338</v>
      </c>
      <c r="D784" s="268" t="s">
        <v>151</v>
      </c>
      <c r="E784" s="268" t="s">
        <v>332</v>
      </c>
      <c r="F784" s="268" t="s">
        <v>295</v>
      </c>
      <c r="G784">
        <v>65</v>
      </c>
      <c r="H784">
        <v>3010</v>
      </c>
    </row>
    <row r="785" spans="2:8" x14ac:dyDescent="0.3">
      <c r="B785" s="268" t="s">
        <v>337</v>
      </c>
      <c r="C785" s="268" t="s">
        <v>338</v>
      </c>
      <c r="D785" s="268" t="s">
        <v>151</v>
      </c>
      <c r="E785" s="268" t="s">
        <v>332</v>
      </c>
      <c r="F785" s="268" t="s">
        <v>296</v>
      </c>
      <c r="G785">
        <v>66</v>
      </c>
      <c r="H785">
        <v>2716</v>
      </c>
    </row>
    <row r="786" spans="2:8" x14ac:dyDescent="0.3">
      <c r="B786" s="268" t="s">
        <v>337</v>
      </c>
      <c r="C786" s="268" t="s">
        <v>338</v>
      </c>
      <c r="D786" s="268" t="s">
        <v>151</v>
      </c>
      <c r="E786" s="268" t="s">
        <v>332</v>
      </c>
      <c r="F786" s="268" t="s">
        <v>297</v>
      </c>
      <c r="G786">
        <v>67</v>
      </c>
      <c r="H786">
        <v>2616</v>
      </c>
    </row>
    <row r="787" spans="2:8" x14ac:dyDescent="0.3">
      <c r="B787" s="268" t="s">
        <v>337</v>
      </c>
      <c r="C787" s="268" t="s">
        <v>338</v>
      </c>
      <c r="D787" s="268" t="s">
        <v>151</v>
      </c>
      <c r="E787" s="268" t="s">
        <v>332</v>
      </c>
      <c r="F787" s="268" t="s">
        <v>298</v>
      </c>
      <c r="G787">
        <v>68</v>
      </c>
      <c r="H787">
        <v>2453</v>
      </c>
    </row>
    <row r="788" spans="2:8" x14ac:dyDescent="0.3">
      <c r="B788" s="268" t="s">
        <v>337</v>
      </c>
      <c r="C788" s="268" t="s">
        <v>338</v>
      </c>
      <c r="D788" s="268" t="s">
        <v>151</v>
      </c>
      <c r="E788" s="268" t="s">
        <v>332</v>
      </c>
      <c r="F788" s="268" t="s">
        <v>299</v>
      </c>
      <c r="G788">
        <v>69</v>
      </c>
      <c r="H788">
        <v>2228</v>
      </c>
    </row>
    <row r="789" spans="2:8" x14ac:dyDescent="0.3">
      <c r="B789" s="268" t="s">
        <v>337</v>
      </c>
      <c r="C789" s="268" t="s">
        <v>338</v>
      </c>
      <c r="D789" s="268" t="s">
        <v>151</v>
      </c>
      <c r="E789" s="268" t="s">
        <v>332</v>
      </c>
      <c r="F789" s="268" t="s">
        <v>300</v>
      </c>
      <c r="G789">
        <v>70</v>
      </c>
      <c r="H789">
        <v>2278</v>
      </c>
    </row>
    <row r="790" spans="2:8" x14ac:dyDescent="0.3">
      <c r="B790" s="268" t="s">
        <v>337</v>
      </c>
      <c r="C790" s="268" t="s">
        <v>338</v>
      </c>
      <c r="D790" s="268" t="s">
        <v>151</v>
      </c>
      <c r="E790" s="268" t="s">
        <v>332</v>
      </c>
      <c r="F790" s="268" t="s">
        <v>301</v>
      </c>
      <c r="G790">
        <v>71</v>
      </c>
      <c r="H790">
        <v>2130</v>
      </c>
    </row>
    <row r="791" spans="2:8" x14ac:dyDescent="0.3">
      <c r="B791" s="268" t="s">
        <v>337</v>
      </c>
      <c r="C791" s="268" t="s">
        <v>338</v>
      </c>
      <c r="D791" s="268" t="s">
        <v>151</v>
      </c>
      <c r="E791" s="268" t="s">
        <v>332</v>
      </c>
      <c r="F791" s="268" t="s">
        <v>302</v>
      </c>
      <c r="G791">
        <v>72</v>
      </c>
      <c r="H791">
        <v>1912</v>
      </c>
    </row>
    <row r="792" spans="2:8" x14ac:dyDescent="0.3">
      <c r="B792" s="268" t="s">
        <v>337</v>
      </c>
      <c r="C792" s="268" t="s">
        <v>338</v>
      </c>
      <c r="D792" s="268" t="s">
        <v>151</v>
      </c>
      <c r="E792" s="268" t="s">
        <v>332</v>
      </c>
      <c r="F792" s="268" t="s">
        <v>303</v>
      </c>
      <c r="G792">
        <v>73</v>
      </c>
      <c r="H792">
        <v>1788</v>
      </c>
    </row>
    <row r="793" spans="2:8" x14ac:dyDescent="0.3">
      <c r="B793" s="268" t="s">
        <v>337</v>
      </c>
      <c r="C793" s="268" t="s">
        <v>338</v>
      </c>
      <c r="D793" s="268" t="s">
        <v>151</v>
      </c>
      <c r="E793" s="268" t="s">
        <v>332</v>
      </c>
      <c r="F793" s="268" t="s">
        <v>304</v>
      </c>
      <c r="G793">
        <v>74</v>
      </c>
      <c r="H793">
        <v>1614</v>
      </c>
    </row>
    <row r="794" spans="2:8" x14ac:dyDescent="0.3">
      <c r="B794" s="268" t="s">
        <v>337</v>
      </c>
      <c r="C794" s="268" t="s">
        <v>338</v>
      </c>
      <c r="D794" s="268" t="s">
        <v>151</v>
      </c>
      <c r="E794" s="268" t="s">
        <v>332</v>
      </c>
      <c r="F794" s="268" t="s">
        <v>305</v>
      </c>
      <c r="G794">
        <v>75</v>
      </c>
      <c r="H794">
        <v>1387</v>
      </c>
    </row>
    <row r="795" spans="2:8" x14ac:dyDescent="0.3">
      <c r="B795" s="268" t="s">
        <v>337</v>
      </c>
      <c r="C795" s="268" t="s">
        <v>338</v>
      </c>
      <c r="D795" s="268" t="s">
        <v>151</v>
      </c>
      <c r="E795" s="268" t="s">
        <v>332</v>
      </c>
      <c r="F795" s="268" t="s">
        <v>306</v>
      </c>
      <c r="G795">
        <v>76</v>
      </c>
      <c r="H795">
        <v>1277</v>
      </c>
    </row>
    <row r="796" spans="2:8" x14ac:dyDescent="0.3">
      <c r="B796" s="268" t="s">
        <v>337</v>
      </c>
      <c r="C796" s="268" t="s">
        <v>338</v>
      </c>
      <c r="D796" s="268" t="s">
        <v>151</v>
      </c>
      <c r="E796" s="268" t="s">
        <v>332</v>
      </c>
      <c r="F796" s="268" t="s">
        <v>307</v>
      </c>
      <c r="G796">
        <v>77</v>
      </c>
      <c r="H796">
        <v>1097</v>
      </c>
    </row>
    <row r="797" spans="2:8" x14ac:dyDescent="0.3">
      <c r="B797" s="268" t="s">
        <v>337</v>
      </c>
      <c r="C797" s="268" t="s">
        <v>338</v>
      </c>
      <c r="D797" s="268" t="s">
        <v>151</v>
      </c>
      <c r="E797" s="268" t="s">
        <v>332</v>
      </c>
      <c r="F797" s="268" t="s">
        <v>308</v>
      </c>
      <c r="G797">
        <v>78</v>
      </c>
      <c r="H797">
        <v>940</v>
      </c>
    </row>
    <row r="798" spans="2:8" x14ac:dyDescent="0.3">
      <c r="B798" s="268" t="s">
        <v>337</v>
      </c>
      <c r="C798" s="268" t="s">
        <v>338</v>
      </c>
      <c r="D798" s="268" t="s">
        <v>151</v>
      </c>
      <c r="E798" s="268" t="s">
        <v>332</v>
      </c>
      <c r="F798" s="268" t="s">
        <v>309</v>
      </c>
      <c r="G798">
        <v>79</v>
      </c>
      <c r="H798">
        <v>839</v>
      </c>
    </row>
    <row r="799" spans="2:8" x14ac:dyDescent="0.3">
      <c r="B799" s="268" t="s">
        <v>337</v>
      </c>
      <c r="C799" s="268" t="s">
        <v>338</v>
      </c>
      <c r="D799" s="268" t="s">
        <v>151</v>
      </c>
      <c r="E799" s="268" t="s">
        <v>332</v>
      </c>
      <c r="F799" s="268" t="s">
        <v>310</v>
      </c>
      <c r="G799">
        <v>80</v>
      </c>
      <c r="H799">
        <v>822</v>
      </c>
    </row>
    <row r="800" spans="2:8" x14ac:dyDescent="0.3">
      <c r="B800" s="268" t="s">
        <v>337</v>
      </c>
      <c r="C800" s="268" t="s">
        <v>338</v>
      </c>
      <c r="D800" s="268" t="s">
        <v>151</v>
      </c>
      <c r="E800" s="268" t="s">
        <v>332</v>
      </c>
      <c r="F800" s="268" t="s">
        <v>311</v>
      </c>
      <c r="G800">
        <v>81</v>
      </c>
      <c r="H800">
        <v>648</v>
      </c>
    </row>
    <row r="801" spans="2:8" x14ac:dyDescent="0.3">
      <c r="B801" s="268" t="s">
        <v>337</v>
      </c>
      <c r="C801" s="268" t="s">
        <v>338</v>
      </c>
      <c r="D801" s="268" t="s">
        <v>151</v>
      </c>
      <c r="E801" s="268" t="s">
        <v>332</v>
      </c>
      <c r="F801" s="268" t="s">
        <v>312</v>
      </c>
      <c r="G801">
        <v>82</v>
      </c>
      <c r="H801">
        <v>609</v>
      </c>
    </row>
    <row r="802" spans="2:8" x14ac:dyDescent="0.3">
      <c r="B802" s="268" t="s">
        <v>337</v>
      </c>
      <c r="C802" s="268" t="s">
        <v>338</v>
      </c>
      <c r="D802" s="268" t="s">
        <v>151</v>
      </c>
      <c r="E802" s="268" t="s">
        <v>332</v>
      </c>
      <c r="F802" s="268" t="s">
        <v>313</v>
      </c>
      <c r="G802">
        <v>83</v>
      </c>
      <c r="H802">
        <v>539</v>
      </c>
    </row>
    <row r="803" spans="2:8" x14ac:dyDescent="0.3">
      <c r="B803" s="268" t="s">
        <v>337</v>
      </c>
      <c r="C803" s="268" t="s">
        <v>338</v>
      </c>
      <c r="D803" s="268" t="s">
        <v>151</v>
      </c>
      <c r="E803" s="268" t="s">
        <v>332</v>
      </c>
      <c r="F803" s="268" t="s">
        <v>314</v>
      </c>
      <c r="G803">
        <v>84</v>
      </c>
      <c r="H803">
        <v>444</v>
      </c>
    </row>
    <row r="804" spans="2:8" x14ac:dyDescent="0.3">
      <c r="B804" s="268" t="s">
        <v>337</v>
      </c>
      <c r="C804" s="268" t="s">
        <v>338</v>
      </c>
      <c r="D804" s="268" t="s">
        <v>151</v>
      </c>
      <c r="E804" s="268" t="s">
        <v>332</v>
      </c>
      <c r="F804" s="268" t="s">
        <v>315</v>
      </c>
      <c r="G804">
        <v>85</v>
      </c>
      <c r="H804">
        <v>402</v>
      </c>
    </row>
    <row r="805" spans="2:8" x14ac:dyDescent="0.3">
      <c r="B805" s="268" t="s">
        <v>337</v>
      </c>
      <c r="C805" s="268" t="s">
        <v>338</v>
      </c>
      <c r="D805" s="268" t="s">
        <v>151</v>
      </c>
      <c r="E805" s="268" t="s">
        <v>332</v>
      </c>
      <c r="F805" s="268" t="s">
        <v>316</v>
      </c>
      <c r="G805">
        <v>86</v>
      </c>
      <c r="H805">
        <v>346</v>
      </c>
    </row>
    <row r="806" spans="2:8" x14ac:dyDescent="0.3">
      <c r="B806" s="268" t="s">
        <v>337</v>
      </c>
      <c r="C806" s="268" t="s">
        <v>338</v>
      </c>
      <c r="D806" s="268" t="s">
        <v>151</v>
      </c>
      <c r="E806" s="268" t="s">
        <v>332</v>
      </c>
      <c r="F806" s="268" t="s">
        <v>317</v>
      </c>
      <c r="G806">
        <v>87</v>
      </c>
      <c r="H806">
        <v>280</v>
      </c>
    </row>
    <row r="807" spans="2:8" x14ac:dyDescent="0.3">
      <c r="B807" s="268" t="s">
        <v>337</v>
      </c>
      <c r="C807" s="268" t="s">
        <v>338</v>
      </c>
      <c r="D807" s="268" t="s">
        <v>151</v>
      </c>
      <c r="E807" s="268" t="s">
        <v>332</v>
      </c>
      <c r="F807" s="268" t="s">
        <v>318</v>
      </c>
      <c r="G807">
        <v>88</v>
      </c>
      <c r="H807">
        <v>240</v>
      </c>
    </row>
    <row r="808" spans="2:8" x14ac:dyDescent="0.3">
      <c r="B808" s="268" t="s">
        <v>337</v>
      </c>
      <c r="C808" s="268" t="s">
        <v>338</v>
      </c>
      <c r="D808" s="268" t="s">
        <v>151</v>
      </c>
      <c r="E808" s="268" t="s">
        <v>332</v>
      </c>
      <c r="F808" s="268" t="s">
        <v>319</v>
      </c>
      <c r="G808">
        <v>89</v>
      </c>
      <c r="H808">
        <v>206</v>
      </c>
    </row>
    <row r="809" spans="2:8" x14ac:dyDescent="0.3">
      <c r="B809" s="268" t="s">
        <v>337</v>
      </c>
      <c r="C809" s="268" t="s">
        <v>338</v>
      </c>
      <c r="D809" s="268" t="s">
        <v>151</v>
      </c>
      <c r="E809" s="268" t="s">
        <v>332</v>
      </c>
      <c r="F809" s="268" t="s">
        <v>320</v>
      </c>
      <c r="G809">
        <v>90</v>
      </c>
      <c r="H809">
        <v>182</v>
      </c>
    </row>
    <row r="810" spans="2:8" x14ac:dyDescent="0.3">
      <c r="B810" s="268" t="s">
        <v>337</v>
      </c>
      <c r="C810" s="268" t="s">
        <v>338</v>
      </c>
      <c r="D810" s="268" t="s">
        <v>151</v>
      </c>
      <c r="E810" s="268" t="s">
        <v>332</v>
      </c>
      <c r="F810" s="268" t="s">
        <v>321</v>
      </c>
      <c r="G810">
        <v>91</v>
      </c>
      <c r="H810">
        <v>140</v>
      </c>
    </row>
    <row r="811" spans="2:8" x14ac:dyDescent="0.3">
      <c r="B811" s="268" t="s">
        <v>337</v>
      </c>
      <c r="C811" s="268" t="s">
        <v>338</v>
      </c>
      <c r="D811" s="268" t="s">
        <v>151</v>
      </c>
      <c r="E811" s="268" t="s">
        <v>332</v>
      </c>
      <c r="F811" s="268" t="s">
        <v>322</v>
      </c>
      <c r="G811">
        <v>92</v>
      </c>
      <c r="H811">
        <v>92</v>
      </c>
    </row>
    <row r="812" spans="2:8" x14ac:dyDescent="0.3">
      <c r="B812" s="268" t="s">
        <v>337</v>
      </c>
      <c r="C812" s="268" t="s">
        <v>338</v>
      </c>
      <c r="D812" s="268" t="s">
        <v>151</v>
      </c>
      <c r="E812" s="268" t="s">
        <v>332</v>
      </c>
      <c r="F812" s="268" t="s">
        <v>323</v>
      </c>
      <c r="G812">
        <v>93</v>
      </c>
      <c r="H812">
        <v>71</v>
      </c>
    </row>
    <row r="813" spans="2:8" x14ac:dyDescent="0.3">
      <c r="B813" s="268" t="s">
        <v>337</v>
      </c>
      <c r="C813" s="268" t="s">
        <v>338</v>
      </c>
      <c r="D813" s="268" t="s">
        <v>151</v>
      </c>
      <c r="E813" s="268" t="s">
        <v>332</v>
      </c>
      <c r="F813" s="268" t="s">
        <v>324</v>
      </c>
      <c r="G813">
        <v>94</v>
      </c>
      <c r="H813">
        <v>50</v>
      </c>
    </row>
    <row r="814" spans="2:8" x14ac:dyDescent="0.3">
      <c r="B814" s="268" t="s">
        <v>337</v>
      </c>
      <c r="C814" s="268" t="s">
        <v>338</v>
      </c>
      <c r="D814" s="268" t="s">
        <v>151</v>
      </c>
      <c r="E814" s="268" t="s">
        <v>332</v>
      </c>
      <c r="F814" s="268" t="s">
        <v>325</v>
      </c>
      <c r="G814">
        <v>95</v>
      </c>
      <c r="H814">
        <v>36</v>
      </c>
    </row>
    <row r="815" spans="2:8" x14ac:dyDescent="0.3">
      <c r="B815" s="268" t="s">
        <v>337</v>
      </c>
      <c r="C815" s="268" t="s">
        <v>338</v>
      </c>
      <c r="D815" s="268" t="s">
        <v>151</v>
      </c>
      <c r="E815" s="268" t="s">
        <v>332</v>
      </c>
      <c r="F815" s="268" t="s">
        <v>326</v>
      </c>
      <c r="G815">
        <v>96</v>
      </c>
      <c r="H815">
        <v>30</v>
      </c>
    </row>
    <row r="816" spans="2:8" x14ac:dyDescent="0.3">
      <c r="B816" s="268" t="s">
        <v>337</v>
      </c>
      <c r="C816" s="268" t="s">
        <v>338</v>
      </c>
      <c r="D816" s="268" t="s">
        <v>151</v>
      </c>
      <c r="E816" s="268" t="s">
        <v>332</v>
      </c>
      <c r="F816" s="268" t="s">
        <v>327</v>
      </c>
      <c r="G816">
        <v>97</v>
      </c>
      <c r="H816">
        <v>17</v>
      </c>
    </row>
    <row r="817" spans="1:8" x14ac:dyDescent="0.3">
      <c r="B817" s="268" t="s">
        <v>337</v>
      </c>
      <c r="C817" s="268" t="s">
        <v>338</v>
      </c>
      <c r="D817" s="268" t="s">
        <v>151</v>
      </c>
      <c r="E817" s="268" t="s">
        <v>332</v>
      </c>
      <c r="F817" s="268" t="s">
        <v>328</v>
      </c>
      <c r="G817">
        <v>98</v>
      </c>
      <c r="H817">
        <v>13</v>
      </c>
    </row>
    <row r="818" spans="1:8" x14ac:dyDescent="0.3">
      <c r="B818" s="268" t="s">
        <v>337</v>
      </c>
      <c r="C818" s="268" t="s">
        <v>338</v>
      </c>
      <c r="D818" s="268" t="s">
        <v>151</v>
      </c>
      <c r="E818" s="268" t="s">
        <v>332</v>
      </c>
      <c r="F818" s="268" t="s">
        <v>329</v>
      </c>
      <c r="G818">
        <v>99</v>
      </c>
      <c r="H818">
        <v>6</v>
      </c>
    </row>
    <row r="819" spans="1:8" x14ac:dyDescent="0.3">
      <c r="B819" s="268" t="s">
        <v>337</v>
      </c>
      <c r="C819" s="268" t="s">
        <v>338</v>
      </c>
      <c r="D819" s="268" t="s">
        <v>151</v>
      </c>
      <c r="E819" s="268" t="s">
        <v>332</v>
      </c>
      <c r="F819" s="268" t="s">
        <v>330</v>
      </c>
      <c r="G819" t="s">
        <v>331</v>
      </c>
      <c r="H819">
        <v>13</v>
      </c>
    </row>
    <row r="820" spans="1:8" x14ac:dyDescent="0.3">
      <c r="A820" s="268" t="s">
        <v>70</v>
      </c>
      <c r="B820" s="268" t="s">
        <v>337</v>
      </c>
      <c r="C820" s="268" t="s">
        <v>338</v>
      </c>
      <c r="D820" s="268" t="s">
        <v>151</v>
      </c>
      <c r="E820" s="268" t="s">
        <v>332</v>
      </c>
      <c r="H820">
        <v>408533</v>
      </c>
    </row>
    <row r="821" spans="1:8" x14ac:dyDescent="0.3">
      <c r="A821" s="268" t="s">
        <v>70</v>
      </c>
      <c r="B821" s="268" t="s">
        <v>337</v>
      </c>
      <c r="C821" s="268" t="s">
        <v>338</v>
      </c>
      <c r="H821">
        <v>805865</v>
      </c>
    </row>
    <row r="822" spans="1:8" x14ac:dyDescent="0.3">
      <c r="B822" s="268" t="s">
        <v>339</v>
      </c>
      <c r="C822" s="268" t="s">
        <v>340</v>
      </c>
      <c r="D822" s="268" t="s">
        <v>152</v>
      </c>
      <c r="E822" s="268" t="s">
        <v>217</v>
      </c>
      <c r="F822" s="268" t="s">
        <v>218</v>
      </c>
      <c r="G822">
        <v>0</v>
      </c>
      <c r="H822">
        <v>1421270</v>
      </c>
    </row>
    <row r="823" spans="1:8" x14ac:dyDescent="0.3">
      <c r="B823" s="268" t="s">
        <v>339</v>
      </c>
      <c r="C823" s="268" t="s">
        <v>340</v>
      </c>
      <c r="D823" s="268" t="s">
        <v>152</v>
      </c>
      <c r="E823" s="268" t="s">
        <v>217</v>
      </c>
      <c r="F823" s="268" t="s">
        <v>220</v>
      </c>
      <c r="G823">
        <v>1</v>
      </c>
      <c r="H823">
        <v>1423624</v>
      </c>
    </row>
    <row r="824" spans="1:8" x14ac:dyDescent="0.3">
      <c r="B824" s="268" t="s">
        <v>339</v>
      </c>
      <c r="C824" s="268" t="s">
        <v>340</v>
      </c>
      <c r="D824" s="268" t="s">
        <v>152</v>
      </c>
      <c r="E824" s="268" t="s">
        <v>217</v>
      </c>
      <c r="F824" s="268" t="s">
        <v>221</v>
      </c>
      <c r="G824">
        <v>2</v>
      </c>
      <c r="H824">
        <v>1424666</v>
      </c>
    </row>
    <row r="825" spans="1:8" x14ac:dyDescent="0.3">
      <c r="B825" s="268" t="s">
        <v>339</v>
      </c>
      <c r="C825" s="268" t="s">
        <v>340</v>
      </c>
      <c r="D825" s="268" t="s">
        <v>152</v>
      </c>
      <c r="E825" s="268" t="s">
        <v>217</v>
      </c>
      <c r="F825" s="268" t="s">
        <v>223</v>
      </c>
      <c r="G825">
        <v>3</v>
      </c>
      <c r="H825">
        <v>1424501</v>
      </c>
    </row>
    <row r="826" spans="1:8" x14ac:dyDescent="0.3">
      <c r="B826" s="268" t="s">
        <v>339</v>
      </c>
      <c r="C826" s="268" t="s">
        <v>340</v>
      </c>
      <c r="D826" s="268" t="s">
        <v>152</v>
      </c>
      <c r="E826" s="268" t="s">
        <v>217</v>
      </c>
      <c r="F826" s="268" t="s">
        <v>225</v>
      </c>
      <c r="G826">
        <v>4</v>
      </c>
      <c r="H826">
        <v>1423245</v>
      </c>
    </row>
    <row r="827" spans="1:8" x14ac:dyDescent="0.3">
      <c r="B827" s="268" t="s">
        <v>339</v>
      </c>
      <c r="C827" s="268" t="s">
        <v>340</v>
      </c>
      <c r="D827" s="268" t="s">
        <v>152</v>
      </c>
      <c r="E827" s="268" t="s">
        <v>217</v>
      </c>
      <c r="F827" s="268" t="s">
        <v>226</v>
      </c>
      <c r="G827">
        <v>5</v>
      </c>
      <c r="H827">
        <v>1421505</v>
      </c>
    </row>
    <row r="828" spans="1:8" x14ac:dyDescent="0.3">
      <c r="B828" s="268" t="s">
        <v>339</v>
      </c>
      <c r="C828" s="268" t="s">
        <v>340</v>
      </c>
      <c r="D828" s="268" t="s">
        <v>152</v>
      </c>
      <c r="E828" s="268" t="s">
        <v>217</v>
      </c>
      <c r="F828" s="268" t="s">
        <v>227</v>
      </c>
      <c r="G828">
        <v>6</v>
      </c>
      <c r="H828">
        <v>1419437</v>
      </c>
    </row>
    <row r="829" spans="1:8" x14ac:dyDescent="0.3">
      <c r="B829" s="268" t="s">
        <v>339</v>
      </c>
      <c r="C829" s="268" t="s">
        <v>340</v>
      </c>
      <c r="D829" s="268" t="s">
        <v>152</v>
      </c>
      <c r="E829" s="268" t="s">
        <v>217</v>
      </c>
      <c r="F829" s="268" t="s">
        <v>229</v>
      </c>
      <c r="G829">
        <v>7</v>
      </c>
      <c r="H829">
        <v>1410100</v>
      </c>
    </row>
    <row r="830" spans="1:8" x14ac:dyDescent="0.3">
      <c r="B830" s="268" t="s">
        <v>339</v>
      </c>
      <c r="C830" s="268" t="s">
        <v>340</v>
      </c>
      <c r="D830" s="268" t="s">
        <v>152</v>
      </c>
      <c r="E830" s="268" t="s">
        <v>217</v>
      </c>
      <c r="F830" s="268" t="s">
        <v>230</v>
      </c>
      <c r="G830">
        <v>8</v>
      </c>
      <c r="H830">
        <v>1411751</v>
      </c>
    </row>
    <row r="831" spans="1:8" x14ac:dyDescent="0.3">
      <c r="B831" s="268" t="s">
        <v>339</v>
      </c>
      <c r="C831" s="268" t="s">
        <v>340</v>
      </c>
      <c r="D831" s="268" t="s">
        <v>152</v>
      </c>
      <c r="E831" s="268" t="s">
        <v>217</v>
      </c>
      <c r="F831" s="268" t="s">
        <v>231</v>
      </c>
      <c r="G831">
        <v>9</v>
      </c>
      <c r="H831">
        <v>1424296</v>
      </c>
    </row>
    <row r="832" spans="1:8" x14ac:dyDescent="0.3">
      <c r="B832" s="268" t="s">
        <v>339</v>
      </c>
      <c r="C832" s="268" t="s">
        <v>340</v>
      </c>
      <c r="D832" s="268" t="s">
        <v>152</v>
      </c>
      <c r="E832" s="268" t="s">
        <v>217</v>
      </c>
      <c r="F832" s="268" t="s">
        <v>233</v>
      </c>
      <c r="G832">
        <v>10</v>
      </c>
      <c r="H832">
        <v>1427960</v>
      </c>
    </row>
    <row r="833" spans="2:8" x14ac:dyDescent="0.3">
      <c r="B833" s="268" t="s">
        <v>339</v>
      </c>
      <c r="C833" s="268" t="s">
        <v>340</v>
      </c>
      <c r="D833" s="268" t="s">
        <v>152</v>
      </c>
      <c r="E833" s="268" t="s">
        <v>217</v>
      </c>
      <c r="F833" s="268" t="s">
        <v>234</v>
      </c>
      <c r="G833">
        <v>11</v>
      </c>
      <c r="H833">
        <v>1431046</v>
      </c>
    </row>
    <row r="834" spans="2:8" x14ac:dyDescent="0.3">
      <c r="B834" s="268" t="s">
        <v>339</v>
      </c>
      <c r="C834" s="268" t="s">
        <v>340</v>
      </c>
      <c r="D834" s="268" t="s">
        <v>152</v>
      </c>
      <c r="E834" s="268" t="s">
        <v>217</v>
      </c>
      <c r="F834" s="268" t="s">
        <v>235</v>
      </c>
      <c r="G834">
        <v>12</v>
      </c>
      <c r="H834">
        <v>1477160</v>
      </c>
    </row>
    <row r="835" spans="2:8" x14ac:dyDescent="0.3">
      <c r="B835" s="268" t="s">
        <v>339</v>
      </c>
      <c r="C835" s="268" t="s">
        <v>340</v>
      </c>
      <c r="D835" s="268" t="s">
        <v>152</v>
      </c>
      <c r="E835" s="268" t="s">
        <v>217</v>
      </c>
      <c r="F835" s="268" t="s">
        <v>237</v>
      </c>
      <c r="G835">
        <v>13</v>
      </c>
      <c r="H835">
        <v>1491152</v>
      </c>
    </row>
    <row r="836" spans="2:8" x14ac:dyDescent="0.3">
      <c r="B836" s="268" t="s">
        <v>339</v>
      </c>
      <c r="C836" s="268" t="s">
        <v>340</v>
      </c>
      <c r="D836" s="268" t="s">
        <v>152</v>
      </c>
      <c r="E836" s="268" t="s">
        <v>217</v>
      </c>
      <c r="F836" s="268" t="s">
        <v>239</v>
      </c>
      <c r="G836">
        <v>14</v>
      </c>
      <c r="H836">
        <v>1486558</v>
      </c>
    </row>
    <row r="837" spans="2:8" x14ac:dyDescent="0.3">
      <c r="B837" s="268" t="s">
        <v>339</v>
      </c>
      <c r="C837" s="268" t="s">
        <v>340</v>
      </c>
      <c r="D837" s="268" t="s">
        <v>152</v>
      </c>
      <c r="E837" s="268" t="s">
        <v>217</v>
      </c>
      <c r="F837" s="268" t="s">
        <v>241</v>
      </c>
      <c r="G837">
        <v>15</v>
      </c>
      <c r="H837">
        <v>1488927</v>
      </c>
    </row>
    <row r="838" spans="2:8" x14ac:dyDescent="0.3">
      <c r="B838" s="268" t="s">
        <v>339</v>
      </c>
      <c r="C838" s="268" t="s">
        <v>340</v>
      </c>
      <c r="D838" s="268" t="s">
        <v>152</v>
      </c>
      <c r="E838" s="268" t="s">
        <v>217</v>
      </c>
      <c r="F838" s="268" t="s">
        <v>243</v>
      </c>
      <c r="G838">
        <v>16</v>
      </c>
      <c r="H838">
        <v>1502580</v>
      </c>
    </row>
    <row r="839" spans="2:8" x14ac:dyDescent="0.3">
      <c r="B839" s="268" t="s">
        <v>339</v>
      </c>
      <c r="C839" s="268" t="s">
        <v>340</v>
      </c>
      <c r="D839" s="268" t="s">
        <v>152</v>
      </c>
      <c r="E839" s="268" t="s">
        <v>217</v>
      </c>
      <c r="F839" s="268" t="s">
        <v>245</v>
      </c>
      <c r="G839">
        <v>17</v>
      </c>
      <c r="H839">
        <v>1499978</v>
      </c>
    </row>
    <row r="840" spans="2:8" x14ac:dyDescent="0.3">
      <c r="B840" s="268" t="s">
        <v>339</v>
      </c>
      <c r="C840" s="268" t="s">
        <v>340</v>
      </c>
      <c r="D840" s="268" t="s">
        <v>152</v>
      </c>
      <c r="E840" s="268" t="s">
        <v>217</v>
      </c>
      <c r="F840" s="268" t="s">
        <v>247</v>
      </c>
      <c r="G840">
        <v>18</v>
      </c>
      <c r="H840">
        <v>1500241</v>
      </c>
    </row>
    <row r="841" spans="2:8" x14ac:dyDescent="0.3">
      <c r="B841" s="268" t="s">
        <v>339</v>
      </c>
      <c r="C841" s="268" t="s">
        <v>340</v>
      </c>
      <c r="D841" s="268" t="s">
        <v>152</v>
      </c>
      <c r="E841" s="268" t="s">
        <v>217</v>
      </c>
      <c r="F841" s="268" t="s">
        <v>249</v>
      </c>
      <c r="G841">
        <v>19</v>
      </c>
      <c r="H841">
        <v>1541535</v>
      </c>
    </row>
    <row r="842" spans="2:8" x14ac:dyDescent="0.3">
      <c r="B842" s="268" t="s">
        <v>339</v>
      </c>
      <c r="C842" s="268" t="s">
        <v>340</v>
      </c>
      <c r="D842" s="268" t="s">
        <v>152</v>
      </c>
      <c r="E842" s="268" t="s">
        <v>217</v>
      </c>
      <c r="F842" s="268" t="s">
        <v>250</v>
      </c>
      <c r="G842">
        <v>20</v>
      </c>
      <c r="H842">
        <v>1569664</v>
      </c>
    </row>
    <row r="843" spans="2:8" x14ac:dyDescent="0.3">
      <c r="B843" s="268" t="s">
        <v>339</v>
      </c>
      <c r="C843" s="268" t="s">
        <v>340</v>
      </c>
      <c r="D843" s="268" t="s">
        <v>152</v>
      </c>
      <c r="E843" s="268" t="s">
        <v>217</v>
      </c>
      <c r="F843" s="268" t="s">
        <v>251</v>
      </c>
      <c r="G843">
        <v>21</v>
      </c>
      <c r="H843">
        <v>1559179</v>
      </c>
    </row>
    <row r="844" spans="2:8" x14ac:dyDescent="0.3">
      <c r="B844" s="268" t="s">
        <v>339</v>
      </c>
      <c r="C844" s="268" t="s">
        <v>340</v>
      </c>
      <c r="D844" s="268" t="s">
        <v>152</v>
      </c>
      <c r="E844" s="268" t="s">
        <v>217</v>
      </c>
      <c r="F844" s="268" t="s">
        <v>252</v>
      </c>
      <c r="G844">
        <v>22</v>
      </c>
      <c r="H844">
        <v>1563630</v>
      </c>
    </row>
    <row r="845" spans="2:8" x14ac:dyDescent="0.3">
      <c r="B845" s="268" t="s">
        <v>339</v>
      </c>
      <c r="C845" s="268" t="s">
        <v>340</v>
      </c>
      <c r="D845" s="268" t="s">
        <v>152</v>
      </c>
      <c r="E845" s="268" t="s">
        <v>217</v>
      </c>
      <c r="F845" s="268" t="s">
        <v>253</v>
      </c>
      <c r="G845">
        <v>23</v>
      </c>
      <c r="H845">
        <v>1575329</v>
      </c>
    </row>
    <row r="846" spans="2:8" x14ac:dyDescent="0.3">
      <c r="B846" s="268" t="s">
        <v>339</v>
      </c>
      <c r="C846" s="268" t="s">
        <v>340</v>
      </c>
      <c r="D846" s="268" t="s">
        <v>152</v>
      </c>
      <c r="E846" s="268" t="s">
        <v>217</v>
      </c>
      <c r="F846" s="268" t="s">
        <v>254</v>
      </c>
      <c r="G846">
        <v>24</v>
      </c>
      <c r="H846">
        <v>1588401</v>
      </c>
    </row>
    <row r="847" spans="2:8" x14ac:dyDescent="0.3">
      <c r="B847" s="268" t="s">
        <v>339</v>
      </c>
      <c r="C847" s="268" t="s">
        <v>340</v>
      </c>
      <c r="D847" s="268" t="s">
        <v>152</v>
      </c>
      <c r="E847" s="268" t="s">
        <v>217</v>
      </c>
      <c r="F847" s="268" t="s">
        <v>255</v>
      </c>
      <c r="G847">
        <v>25</v>
      </c>
      <c r="H847">
        <v>1615545</v>
      </c>
    </row>
    <row r="848" spans="2:8" x14ac:dyDescent="0.3">
      <c r="B848" s="268" t="s">
        <v>339</v>
      </c>
      <c r="C848" s="268" t="s">
        <v>340</v>
      </c>
      <c r="D848" s="268" t="s">
        <v>152</v>
      </c>
      <c r="E848" s="268" t="s">
        <v>217</v>
      </c>
      <c r="F848" s="268" t="s">
        <v>256</v>
      </c>
      <c r="G848">
        <v>26</v>
      </c>
      <c r="H848">
        <v>1637675</v>
      </c>
    </row>
    <row r="849" spans="2:8" x14ac:dyDescent="0.3">
      <c r="B849" s="268" t="s">
        <v>339</v>
      </c>
      <c r="C849" s="268" t="s">
        <v>340</v>
      </c>
      <c r="D849" s="268" t="s">
        <v>152</v>
      </c>
      <c r="E849" s="268" t="s">
        <v>217</v>
      </c>
      <c r="F849" s="268" t="s">
        <v>257</v>
      </c>
      <c r="G849">
        <v>27</v>
      </c>
      <c r="H849">
        <v>1654656</v>
      </c>
    </row>
    <row r="850" spans="2:8" x14ac:dyDescent="0.3">
      <c r="B850" s="268" t="s">
        <v>339</v>
      </c>
      <c r="C850" s="268" t="s">
        <v>340</v>
      </c>
      <c r="D850" s="268" t="s">
        <v>152</v>
      </c>
      <c r="E850" s="268" t="s">
        <v>217</v>
      </c>
      <c r="F850" s="268" t="s">
        <v>258</v>
      </c>
      <c r="G850">
        <v>28</v>
      </c>
      <c r="H850">
        <v>1698322</v>
      </c>
    </row>
    <row r="851" spans="2:8" x14ac:dyDescent="0.3">
      <c r="B851" s="268" t="s">
        <v>339</v>
      </c>
      <c r="C851" s="268" t="s">
        <v>340</v>
      </c>
      <c r="D851" s="268" t="s">
        <v>152</v>
      </c>
      <c r="E851" s="268" t="s">
        <v>217</v>
      </c>
      <c r="F851" s="268" t="s">
        <v>259</v>
      </c>
      <c r="G851">
        <v>29</v>
      </c>
      <c r="H851">
        <v>1732249</v>
      </c>
    </row>
    <row r="852" spans="2:8" x14ac:dyDescent="0.3">
      <c r="B852" s="268" t="s">
        <v>339</v>
      </c>
      <c r="C852" s="268" t="s">
        <v>340</v>
      </c>
      <c r="D852" s="268" t="s">
        <v>152</v>
      </c>
      <c r="E852" s="268" t="s">
        <v>217</v>
      </c>
      <c r="F852" s="268" t="s">
        <v>260</v>
      </c>
      <c r="G852">
        <v>30</v>
      </c>
      <c r="H852">
        <v>1732090</v>
      </c>
    </row>
    <row r="853" spans="2:8" x14ac:dyDescent="0.3">
      <c r="B853" s="268" t="s">
        <v>339</v>
      </c>
      <c r="C853" s="268" t="s">
        <v>340</v>
      </c>
      <c r="D853" s="268" t="s">
        <v>152</v>
      </c>
      <c r="E853" s="268" t="s">
        <v>217</v>
      </c>
      <c r="F853" s="268" t="s">
        <v>261</v>
      </c>
      <c r="G853">
        <v>31</v>
      </c>
      <c r="H853">
        <v>1665104</v>
      </c>
    </row>
    <row r="854" spans="2:8" x14ac:dyDescent="0.3">
      <c r="B854" s="268" t="s">
        <v>339</v>
      </c>
      <c r="C854" s="268" t="s">
        <v>340</v>
      </c>
      <c r="D854" s="268" t="s">
        <v>152</v>
      </c>
      <c r="E854" s="268" t="s">
        <v>217</v>
      </c>
      <c r="F854" s="268" t="s">
        <v>262</v>
      </c>
      <c r="G854">
        <v>32</v>
      </c>
      <c r="H854">
        <v>1639535</v>
      </c>
    </row>
    <row r="855" spans="2:8" x14ac:dyDescent="0.3">
      <c r="B855" s="268" t="s">
        <v>339</v>
      </c>
      <c r="C855" s="268" t="s">
        <v>340</v>
      </c>
      <c r="D855" s="268" t="s">
        <v>152</v>
      </c>
      <c r="E855" s="268" t="s">
        <v>217</v>
      </c>
      <c r="F855" s="268" t="s">
        <v>263</v>
      </c>
      <c r="G855">
        <v>33</v>
      </c>
      <c r="H855">
        <v>1616042</v>
      </c>
    </row>
    <row r="856" spans="2:8" x14ac:dyDescent="0.3">
      <c r="B856" s="268" t="s">
        <v>339</v>
      </c>
      <c r="C856" s="268" t="s">
        <v>340</v>
      </c>
      <c r="D856" s="268" t="s">
        <v>152</v>
      </c>
      <c r="E856" s="268" t="s">
        <v>217</v>
      </c>
      <c r="F856" s="268" t="s">
        <v>264</v>
      </c>
      <c r="G856">
        <v>34</v>
      </c>
      <c r="H856">
        <v>1627888</v>
      </c>
    </row>
    <row r="857" spans="2:8" x14ac:dyDescent="0.3">
      <c r="B857" s="268" t="s">
        <v>339</v>
      </c>
      <c r="C857" s="268" t="s">
        <v>340</v>
      </c>
      <c r="D857" s="268" t="s">
        <v>152</v>
      </c>
      <c r="E857" s="268" t="s">
        <v>217</v>
      </c>
      <c r="F857" s="268" t="s">
        <v>265</v>
      </c>
      <c r="G857">
        <v>35</v>
      </c>
      <c r="H857">
        <v>1644040</v>
      </c>
    </row>
    <row r="858" spans="2:8" x14ac:dyDescent="0.3">
      <c r="B858" s="268" t="s">
        <v>339</v>
      </c>
      <c r="C858" s="268" t="s">
        <v>340</v>
      </c>
      <c r="D858" s="268" t="s">
        <v>152</v>
      </c>
      <c r="E858" s="268" t="s">
        <v>217</v>
      </c>
      <c r="F858" s="268" t="s">
        <v>266</v>
      </c>
      <c r="G858">
        <v>36</v>
      </c>
      <c r="H858">
        <v>1595993</v>
      </c>
    </row>
    <row r="859" spans="2:8" x14ac:dyDescent="0.3">
      <c r="B859" s="268" t="s">
        <v>339</v>
      </c>
      <c r="C859" s="268" t="s">
        <v>340</v>
      </c>
      <c r="D859" s="268" t="s">
        <v>152</v>
      </c>
      <c r="E859" s="268" t="s">
        <v>217</v>
      </c>
      <c r="F859" s="268" t="s">
        <v>267</v>
      </c>
      <c r="G859">
        <v>37</v>
      </c>
      <c r="H859">
        <v>1621686</v>
      </c>
    </row>
    <row r="860" spans="2:8" x14ac:dyDescent="0.3">
      <c r="B860" s="268" t="s">
        <v>339</v>
      </c>
      <c r="C860" s="268" t="s">
        <v>340</v>
      </c>
      <c r="D860" s="268" t="s">
        <v>152</v>
      </c>
      <c r="E860" s="268" t="s">
        <v>217</v>
      </c>
      <c r="F860" s="268" t="s">
        <v>268</v>
      </c>
      <c r="G860">
        <v>38</v>
      </c>
      <c r="H860">
        <v>1622987</v>
      </c>
    </row>
    <row r="861" spans="2:8" x14ac:dyDescent="0.3">
      <c r="B861" s="268" t="s">
        <v>339</v>
      </c>
      <c r="C861" s="268" t="s">
        <v>340</v>
      </c>
      <c r="D861" s="268" t="s">
        <v>152</v>
      </c>
      <c r="E861" s="268" t="s">
        <v>217</v>
      </c>
      <c r="F861" s="268" t="s">
        <v>269</v>
      </c>
      <c r="G861">
        <v>39</v>
      </c>
      <c r="H861">
        <v>1609100</v>
      </c>
    </row>
    <row r="862" spans="2:8" x14ac:dyDescent="0.3">
      <c r="B862" s="268" t="s">
        <v>339</v>
      </c>
      <c r="C862" s="268" t="s">
        <v>340</v>
      </c>
      <c r="D862" s="268" t="s">
        <v>152</v>
      </c>
      <c r="E862" s="268" t="s">
        <v>217</v>
      </c>
      <c r="F862" s="268" t="s">
        <v>270</v>
      </c>
      <c r="G862">
        <v>40</v>
      </c>
      <c r="H862">
        <v>1626581</v>
      </c>
    </row>
    <row r="863" spans="2:8" x14ac:dyDescent="0.3">
      <c r="B863" s="268" t="s">
        <v>339</v>
      </c>
      <c r="C863" s="268" t="s">
        <v>340</v>
      </c>
      <c r="D863" s="268" t="s">
        <v>152</v>
      </c>
      <c r="E863" s="268" t="s">
        <v>217</v>
      </c>
      <c r="F863" s="268" t="s">
        <v>271</v>
      </c>
      <c r="G863">
        <v>41</v>
      </c>
      <c r="H863">
        <v>1534251</v>
      </c>
    </row>
    <row r="864" spans="2:8" x14ac:dyDescent="0.3">
      <c r="B864" s="268" t="s">
        <v>339</v>
      </c>
      <c r="C864" s="268" t="s">
        <v>340</v>
      </c>
      <c r="D864" s="268" t="s">
        <v>152</v>
      </c>
      <c r="E864" s="268" t="s">
        <v>217</v>
      </c>
      <c r="F864" s="268" t="s">
        <v>272</v>
      </c>
      <c r="G864">
        <v>42</v>
      </c>
      <c r="H864">
        <v>1510956</v>
      </c>
    </row>
    <row r="865" spans="2:8" x14ac:dyDescent="0.3">
      <c r="B865" s="268" t="s">
        <v>339</v>
      </c>
      <c r="C865" s="268" t="s">
        <v>340</v>
      </c>
      <c r="D865" s="268" t="s">
        <v>152</v>
      </c>
      <c r="E865" s="268" t="s">
        <v>217</v>
      </c>
      <c r="F865" s="268" t="s">
        <v>273</v>
      </c>
      <c r="G865">
        <v>43</v>
      </c>
      <c r="H865">
        <v>1497747</v>
      </c>
    </row>
    <row r="866" spans="2:8" x14ac:dyDescent="0.3">
      <c r="B866" s="268" t="s">
        <v>339</v>
      </c>
      <c r="C866" s="268" t="s">
        <v>340</v>
      </c>
      <c r="D866" s="268" t="s">
        <v>152</v>
      </c>
      <c r="E866" s="268" t="s">
        <v>217</v>
      </c>
      <c r="F866" s="268" t="s">
        <v>274</v>
      </c>
      <c r="G866">
        <v>44</v>
      </c>
      <c r="H866">
        <v>1452274</v>
      </c>
    </row>
    <row r="867" spans="2:8" x14ac:dyDescent="0.3">
      <c r="B867" s="268" t="s">
        <v>339</v>
      </c>
      <c r="C867" s="268" t="s">
        <v>340</v>
      </c>
      <c r="D867" s="268" t="s">
        <v>152</v>
      </c>
      <c r="E867" s="268" t="s">
        <v>217</v>
      </c>
      <c r="F867" s="268" t="s">
        <v>275</v>
      </c>
      <c r="G867">
        <v>45</v>
      </c>
      <c r="H867">
        <v>1495823</v>
      </c>
    </row>
    <row r="868" spans="2:8" x14ac:dyDescent="0.3">
      <c r="B868" s="268" t="s">
        <v>339</v>
      </c>
      <c r="C868" s="268" t="s">
        <v>340</v>
      </c>
      <c r="D868" s="268" t="s">
        <v>152</v>
      </c>
      <c r="E868" s="268" t="s">
        <v>217</v>
      </c>
      <c r="F868" s="268" t="s">
        <v>276</v>
      </c>
      <c r="G868">
        <v>46</v>
      </c>
      <c r="H868">
        <v>1453791</v>
      </c>
    </row>
    <row r="869" spans="2:8" x14ac:dyDescent="0.3">
      <c r="B869" s="268" t="s">
        <v>339</v>
      </c>
      <c r="C869" s="268" t="s">
        <v>340</v>
      </c>
      <c r="D869" s="268" t="s">
        <v>152</v>
      </c>
      <c r="E869" s="268" t="s">
        <v>217</v>
      </c>
      <c r="F869" s="268" t="s">
        <v>277</v>
      </c>
      <c r="G869">
        <v>47</v>
      </c>
      <c r="H869">
        <v>1477465</v>
      </c>
    </row>
    <row r="870" spans="2:8" x14ac:dyDescent="0.3">
      <c r="B870" s="268" t="s">
        <v>339</v>
      </c>
      <c r="C870" s="268" t="s">
        <v>340</v>
      </c>
      <c r="D870" s="268" t="s">
        <v>152</v>
      </c>
      <c r="E870" s="268" t="s">
        <v>217</v>
      </c>
      <c r="F870" s="268" t="s">
        <v>278</v>
      </c>
      <c r="G870">
        <v>48</v>
      </c>
      <c r="H870">
        <v>1552502</v>
      </c>
    </row>
    <row r="871" spans="2:8" x14ac:dyDescent="0.3">
      <c r="B871" s="268" t="s">
        <v>339</v>
      </c>
      <c r="C871" s="268" t="s">
        <v>340</v>
      </c>
      <c r="D871" s="268" t="s">
        <v>152</v>
      </c>
      <c r="E871" s="268" t="s">
        <v>217</v>
      </c>
      <c r="F871" s="268" t="s">
        <v>279</v>
      </c>
      <c r="G871">
        <v>49</v>
      </c>
      <c r="H871">
        <v>1657402</v>
      </c>
    </row>
    <row r="872" spans="2:8" x14ac:dyDescent="0.3">
      <c r="B872" s="268" t="s">
        <v>339</v>
      </c>
      <c r="C872" s="268" t="s">
        <v>340</v>
      </c>
      <c r="D872" s="268" t="s">
        <v>152</v>
      </c>
      <c r="E872" s="268" t="s">
        <v>217</v>
      </c>
      <c r="F872" s="268" t="s">
        <v>280</v>
      </c>
      <c r="G872">
        <v>50</v>
      </c>
      <c r="H872">
        <v>1677277</v>
      </c>
    </row>
    <row r="873" spans="2:8" x14ac:dyDescent="0.3">
      <c r="B873" s="268" t="s">
        <v>339</v>
      </c>
      <c r="C873" s="268" t="s">
        <v>340</v>
      </c>
      <c r="D873" s="268" t="s">
        <v>152</v>
      </c>
      <c r="E873" s="268" t="s">
        <v>217</v>
      </c>
      <c r="F873" s="268" t="s">
        <v>281</v>
      </c>
      <c r="G873">
        <v>51</v>
      </c>
      <c r="H873">
        <v>1600564</v>
      </c>
    </row>
    <row r="874" spans="2:8" x14ac:dyDescent="0.3">
      <c r="B874" s="268" t="s">
        <v>339</v>
      </c>
      <c r="C874" s="268" t="s">
        <v>340</v>
      </c>
      <c r="D874" s="268" t="s">
        <v>152</v>
      </c>
      <c r="E874" s="268" t="s">
        <v>217</v>
      </c>
      <c r="F874" s="268" t="s">
        <v>282</v>
      </c>
      <c r="G874">
        <v>52</v>
      </c>
      <c r="H874">
        <v>1564092</v>
      </c>
    </row>
    <row r="875" spans="2:8" x14ac:dyDescent="0.3">
      <c r="B875" s="268" t="s">
        <v>339</v>
      </c>
      <c r="C875" s="268" t="s">
        <v>340</v>
      </c>
      <c r="D875" s="268" t="s">
        <v>152</v>
      </c>
      <c r="E875" s="268" t="s">
        <v>217</v>
      </c>
      <c r="F875" s="268" t="s">
        <v>283</v>
      </c>
      <c r="G875">
        <v>53</v>
      </c>
      <c r="H875">
        <v>1582343</v>
      </c>
    </row>
    <row r="876" spans="2:8" x14ac:dyDescent="0.3">
      <c r="B876" s="268" t="s">
        <v>339</v>
      </c>
      <c r="C876" s="268" t="s">
        <v>340</v>
      </c>
      <c r="D876" s="268" t="s">
        <v>152</v>
      </c>
      <c r="E876" s="268" t="s">
        <v>217</v>
      </c>
      <c r="F876" s="268" t="s">
        <v>284</v>
      </c>
      <c r="G876">
        <v>54</v>
      </c>
      <c r="H876">
        <v>1606379</v>
      </c>
    </row>
    <row r="877" spans="2:8" x14ac:dyDescent="0.3">
      <c r="B877" s="268" t="s">
        <v>339</v>
      </c>
      <c r="C877" s="268" t="s">
        <v>340</v>
      </c>
      <c r="D877" s="268" t="s">
        <v>152</v>
      </c>
      <c r="E877" s="268" t="s">
        <v>217</v>
      </c>
      <c r="F877" s="268" t="s">
        <v>285</v>
      </c>
      <c r="G877">
        <v>55</v>
      </c>
      <c r="H877">
        <v>1712655</v>
      </c>
    </row>
    <row r="878" spans="2:8" x14ac:dyDescent="0.3">
      <c r="B878" s="268" t="s">
        <v>339</v>
      </c>
      <c r="C878" s="268" t="s">
        <v>340</v>
      </c>
      <c r="D878" s="268" t="s">
        <v>152</v>
      </c>
      <c r="E878" s="268" t="s">
        <v>217</v>
      </c>
      <c r="F878" s="268" t="s">
        <v>286</v>
      </c>
      <c r="G878">
        <v>56</v>
      </c>
      <c r="H878">
        <v>1759417</v>
      </c>
    </row>
    <row r="879" spans="2:8" x14ac:dyDescent="0.3">
      <c r="B879" s="268" t="s">
        <v>339</v>
      </c>
      <c r="C879" s="268" t="s">
        <v>340</v>
      </c>
      <c r="D879" s="268" t="s">
        <v>152</v>
      </c>
      <c r="E879" s="268" t="s">
        <v>217</v>
      </c>
      <c r="F879" s="268" t="s">
        <v>287</v>
      </c>
      <c r="G879">
        <v>57</v>
      </c>
      <c r="H879">
        <v>1766537</v>
      </c>
    </row>
    <row r="880" spans="2:8" x14ac:dyDescent="0.3">
      <c r="B880" s="268" t="s">
        <v>339</v>
      </c>
      <c r="C880" s="268" t="s">
        <v>340</v>
      </c>
      <c r="D880" s="268" t="s">
        <v>152</v>
      </c>
      <c r="E880" s="268" t="s">
        <v>217</v>
      </c>
      <c r="F880" s="268" t="s">
        <v>288</v>
      </c>
      <c r="G880">
        <v>58</v>
      </c>
      <c r="H880">
        <v>1777341</v>
      </c>
    </row>
    <row r="881" spans="2:8" x14ac:dyDescent="0.3">
      <c r="B881" s="268" t="s">
        <v>339</v>
      </c>
      <c r="C881" s="268" t="s">
        <v>340</v>
      </c>
      <c r="D881" s="268" t="s">
        <v>152</v>
      </c>
      <c r="E881" s="268" t="s">
        <v>217</v>
      </c>
      <c r="F881" s="268" t="s">
        <v>289</v>
      </c>
      <c r="G881">
        <v>59</v>
      </c>
      <c r="H881">
        <v>1808461</v>
      </c>
    </row>
    <row r="882" spans="2:8" x14ac:dyDescent="0.3">
      <c r="B882" s="268" t="s">
        <v>339</v>
      </c>
      <c r="C882" s="268" t="s">
        <v>340</v>
      </c>
      <c r="D882" s="268" t="s">
        <v>152</v>
      </c>
      <c r="E882" s="268" t="s">
        <v>217</v>
      </c>
      <c r="F882" s="268" t="s">
        <v>290</v>
      </c>
      <c r="G882">
        <v>60</v>
      </c>
      <c r="H882">
        <v>1809339</v>
      </c>
    </row>
    <row r="883" spans="2:8" x14ac:dyDescent="0.3">
      <c r="B883" s="268" t="s">
        <v>339</v>
      </c>
      <c r="C883" s="268" t="s">
        <v>340</v>
      </c>
      <c r="D883" s="268" t="s">
        <v>152</v>
      </c>
      <c r="E883" s="268" t="s">
        <v>217</v>
      </c>
      <c r="F883" s="268" t="s">
        <v>291</v>
      </c>
      <c r="G883">
        <v>61</v>
      </c>
      <c r="H883">
        <v>1763689</v>
      </c>
    </row>
    <row r="884" spans="2:8" x14ac:dyDescent="0.3">
      <c r="B884" s="268" t="s">
        <v>339</v>
      </c>
      <c r="C884" s="268" t="s">
        <v>340</v>
      </c>
      <c r="D884" s="268" t="s">
        <v>152</v>
      </c>
      <c r="E884" s="268" t="s">
        <v>217</v>
      </c>
      <c r="F884" s="268" t="s">
        <v>292</v>
      </c>
      <c r="G884">
        <v>62</v>
      </c>
      <c r="H884">
        <v>1762387</v>
      </c>
    </row>
    <row r="885" spans="2:8" x14ac:dyDescent="0.3">
      <c r="B885" s="268" t="s">
        <v>339</v>
      </c>
      <c r="C885" s="268" t="s">
        <v>340</v>
      </c>
      <c r="D885" s="268" t="s">
        <v>152</v>
      </c>
      <c r="E885" s="268" t="s">
        <v>217</v>
      </c>
      <c r="F885" s="268" t="s">
        <v>293</v>
      </c>
      <c r="G885">
        <v>63</v>
      </c>
      <c r="H885">
        <v>1747020</v>
      </c>
    </row>
    <row r="886" spans="2:8" x14ac:dyDescent="0.3">
      <c r="B886" s="268" t="s">
        <v>339</v>
      </c>
      <c r="C886" s="268" t="s">
        <v>340</v>
      </c>
      <c r="D886" s="268" t="s">
        <v>152</v>
      </c>
      <c r="E886" s="268" t="s">
        <v>217</v>
      </c>
      <c r="F886" s="268" t="s">
        <v>294</v>
      </c>
      <c r="G886">
        <v>64</v>
      </c>
      <c r="H886">
        <v>1685156</v>
      </c>
    </row>
    <row r="887" spans="2:8" x14ac:dyDescent="0.3">
      <c r="B887" s="268" t="s">
        <v>339</v>
      </c>
      <c r="C887" s="268" t="s">
        <v>340</v>
      </c>
      <c r="D887" s="268" t="s">
        <v>152</v>
      </c>
      <c r="E887" s="268" t="s">
        <v>217</v>
      </c>
      <c r="F887" s="268" t="s">
        <v>295</v>
      </c>
      <c r="G887">
        <v>65</v>
      </c>
      <c r="H887">
        <v>1674171</v>
      </c>
    </row>
    <row r="888" spans="2:8" x14ac:dyDescent="0.3">
      <c r="B888" s="268" t="s">
        <v>339</v>
      </c>
      <c r="C888" s="268" t="s">
        <v>340</v>
      </c>
      <c r="D888" s="268" t="s">
        <v>152</v>
      </c>
      <c r="E888" s="268" t="s">
        <v>217</v>
      </c>
      <c r="F888" s="268" t="s">
        <v>296</v>
      </c>
      <c r="G888">
        <v>66</v>
      </c>
      <c r="H888">
        <v>1617875</v>
      </c>
    </row>
    <row r="889" spans="2:8" x14ac:dyDescent="0.3">
      <c r="B889" s="268" t="s">
        <v>339</v>
      </c>
      <c r="C889" s="268" t="s">
        <v>340</v>
      </c>
      <c r="D889" s="268" t="s">
        <v>152</v>
      </c>
      <c r="E889" s="268" t="s">
        <v>217</v>
      </c>
      <c r="F889" s="268" t="s">
        <v>297</v>
      </c>
      <c r="G889">
        <v>67</v>
      </c>
      <c r="H889">
        <v>1561387</v>
      </c>
    </row>
    <row r="890" spans="2:8" x14ac:dyDescent="0.3">
      <c r="B890" s="268" t="s">
        <v>339</v>
      </c>
      <c r="C890" s="268" t="s">
        <v>340</v>
      </c>
      <c r="D890" s="268" t="s">
        <v>152</v>
      </c>
      <c r="E890" s="268" t="s">
        <v>217</v>
      </c>
      <c r="F890" s="268" t="s">
        <v>298</v>
      </c>
      <c r="G890">
        <v>68</v>
      </c>
      <c r="H890">
        <v>1500775</v>
      </c>
    </row>
    <row r="891" spans="2:8" x14ac:dyDescent="0.3">
      <c r="B891" s="268" t="s">
        <v>339</v>
      </c>
      <c r="C891" s="268" t="s">
        <v>340</v>
      </c>
      <c r="D891" s="268" t="s">
        <v>152</v>
      </c>
      <c r="E891" s="268" t="s">
        <v>217</v>
      </c>
      <c r="F891" s="268" t="s">
        <v>299</v>
      </c>
      <c r="G891">
        <v>69</v>
      </c>
      <c r="H891">
        <v>1449552</v>
      </c>
    </row>
    <row r="892" spans="2:8" x14ac:dyDescent="0.3">
      <c r="B892" s="268" t="s">
        <v>339</v>
      </c>
      <c r="C892" s="268" t="s">
        <v>340</v>
      </c>
      <c r="D892" s="268" t="s">
        <v>152</v>
      </c>
      <c r="E892" s="268" t="s">
        <v>217</v>
      </c>
      <c r="F892" s="268" t="s">
        <v>300</v>
      </c>
      <c r="G892">
        <v>70</v>
      </c>
      <c r="H892">
        <v>1403536</v>
      </c>
    </row>
    <row r="893" spans="2:8" x14ac:dyDescent="0.3">
      <c r="B893" s="268" t="s">
        <v>339</v>
      </c>
      <c r="C893" s="268" t="s">
        <v>340</v>
      </c>
      <c r="D893" s="268" t="s">
        <v>152</v>
      </c>
      <c r="E893" s="268" t="s">
        <v>217</v>
      </c>
      <c r="F893" s="268" t="s">
        <v>301</v>
      </c>
      <c r="G893">
        <v>71</v>
      </c>
      <c r="H893">
        <v>1371759</v>
      </c>
    </row>
    <row r="894" spans="2:8" x14ac:dyDescent="0.3">
      <c r="B894" s="268" t="s">
        <v>339</v>
      </c>
      <c r="C894" s="268" t="s">
        <v>340</v>
      </c>
      <c r="D894" s="268" t="s">
        <v>152</v>
      </c>
      <c r="E894" s="268" t="s">
        <v>217</v>
      </c>
      <c r="F894" s="268" t="s">
        <v>302</v>
      </c>
      <c r="G894">
        <v>72</v>
      </c>
      <c r="H894">
        <v>1361897</v>
      </c>
    </row>
    <row r="895" spans="2:8" x14ac:dyDescent="0.3">
      <c r="B895" s="268" t="s">
        <v>339</v>
      </c>
      <c r="C895" s="268" t="s">
        <v>340</v>
      </c>
      <c r="D895" s="268" t="s">
        <v>152</v>
      </c>
      <c r="E895" s="268" t="s">
        <v>217</v>
      </c>
      <c r="F895" s="268" t="s">
        <v>303</v>
      </c>
      <c r="G895">
        <v>73</v>
      </c>
      <c r="H895">
        <v>1432849</v>
      </c>
    </row>
    <row r="896" spans="2:8" x14ac:dyDescent="0.3">
      <c r="B896" s="268" t="s">
        <v>339</v>
      </c>
      <c r="C896" s="268" t="s">
        <v>340</v>
      </c>
      <c r="D896" s="268" t="s">
        <v>152</v>
      </c>
      <c r="E896" s="268" t="s">
        <v>217</v>
      </c>
      <c r="F896" s="268" t="s">
        <v>304</v>
      </c>
      <c r="G896">
        <v>74</v>
      </c>
      <c r="H896">
        <v>1036000</v>
      </c>
    </row>
    <row r="897" spans="2:8" x14ac:dyDescent="0.3">
      <c r="B897" s="268" t="s">
        <v>339</v>
      </c>
      <c r="C897" s="268" t="s">
        <v>340</v>
      </c>
      <c r="D897" s="268" t="s">
        <v>152</v>
      </c>
      <c r="E897" s="268" t="s">
        <v>217</v>
      </c>
      <c r="F897" s="268" t="s">
        <v>305</v>
      </c>
      <c r="G897">
        <v>75</v>
      </c>
      <c r="H897">
        <v>1016746</v>
      </c>
    </row>
    <row r="898" spans="2:8" x14ac:dyDescent="0.3">
      <c r="B898" s="268" t="s">
        <v>339</v>
      </c>
      <c r="C898" s="268" t="s">
        <v>340</v>
      </c>
      <c r="D898" s="268" t="s">
        <v>152</v>
      </c>
      <c r="E898" s="268" t="s">
        <v>217</v>
      </c>
      <c r="F898" s="268" t="s">
        <v>306</v>
      </c>
      <c r="G898">
        <v>76</v>
      </c>
      <c r="H898">
        <v>994239</v>
      </c>
    </row>
    <row r="899" spans="2:8" x14ac:dyDescent="0.3">
      <c r="B899" s="268" t="s">
        <v>339</v>
      </c>
      <c r="C899" s="268" t="s">
        <v>340</v>
      </c>
      <c r="D899" s="268" t="s">
        <v>152</v>
      </c>
      <c r="E899" s="268" t="s">
        <v>217</v>
      </c>
      <c r="F899" s="268" t="s">
        <v>307</v>
      </c>
      <c r="G899">
        <v>77</v>
      </c>
      <c r="H899">
        <v>1017662</v>
      </c>
    </row>
    <row r="900" spans="2:8" x14ac:dyDescent="0.3">
      <c r="B900" s="268" t="s">
        <v>339</v>
      </c>
      <c r="C900" s="268" t="s">
        <v>340</v>
      </c>
      <c r="D900" s="268" t="s">
        <v>152</v>
      </c>
      <c r="E900" s="268" t="s">
        <v>217</v>
      </c>
      <c r="F900" s="268" t="s">
        <v>308</v>
      </c>
      <c r="G900">
        <v>78</v>
      </c>
      <c r="H900">
        <v>872313</v>
      </c>
    </row>
    <row r="901" spans="2:8" x14ac:dyDescent="0.3">
      <c r="B901" s="268" t="s">
        <v>339</v>
      </c>
      <c r="C901" s="268" t="s">
        <v>340</v>
      </c>
      <c r="D901" s="268" t="s">
        <v>152</v>
      </c>
      <c r="E901" s="268" t="s">
        <v>217</v>
      </c>
      <c r="F901" s="268" t="s">
        <v>309</v>
      </c>
      <c r="G901">
        <v>79</v>
      </c>
      <c r="H901">
        <v>787013</v>
      </c>
    </row>
    <row r="902" spans="2:8" x14ac:dyDescent="0.3">
      <c r="B902" s="268" t="s">
        <v>339</v>
      </c>
      <c r="C902" s="268" t="s">
        <v>340</v>
      </c>
      <c r="D902" s="268" t="s">
        <v>152</v>
      </c>
      <c r="E902" s="268" t="s">
        <v>217</v>
      </c>
      <c r="F902" s="268" t="s">
        <v>310</v>
      </c>
      <c r="G902">
        <v>80</v>
      </c>
      <c r="H902">
        <v>730588</v>
      </c>
    </row>
    <row r="903" spans="2:8" x14ac:dyDescent="0.3">
      <c r="B903" s="268" t="s">
        <v>339</v>
      </c>
      <c r="C903" s="268" t="s">
        <v>340</v>
      </c>
      <c r="D903" s="268" t="s">
        <v>152</v>
      </c>
      <c r="E903" s="268" t="s">
        <v>217</v>
      </c>
      <c r="F903" s="268" t="s">
        <v>311</v>
      </c>
      <c r="G903">
        <v>81</v>
      </c>
      <c r="H903">
        <v>678897</v>
      </c>
    </row>
    <row r="904" spans="2:8" x14ac:dyDescent="0.3">
      <c r="B904" s="268" t="s">
        <v>339</v>
      </c>
      <c r="C904" s="268" t="s">
        <v>340</v>
      </c>
      <c r="D904" s="268" t="s">
        <v>152</v>
      </c>
      <c r="E904" s="268" t="s">
        <v>217</v>
      </c>
      <c r="F904" s="268" t="s">
        <v>312</v>
      </c>
      <c r="G904">
        <v>82</v>
      </c>
      <c r="H904">
        <v>640297</v>
      </c>
    </row>
    <row r="905" spans="2:8" x14ac:dyDescent="0.3">
      <c r="B905" s="268" t="s">
        <v>339</v>
      </c>
      <c r="C905" s="268" t="s">
        <v>340</v>
      </c>
      <c r="D905" s="268" t="s">
        <v>152</v>
      </c>
      <c r="E905" s="268" t="s">
        <v>217</v>
      </c>
      <c r="F905" s="268" t="s">
        <v>313</v>
      </c>
      <c r="G905">
        <v>83</v>
      </c>
      <c r="H905">
        <v>578258</v>
      </c>
    </row>
    <row r="906" spans="2:8" x14ac:dyDescent="0.3">
      <c r="B906" s="268" t="s">
        <v>339</v>
      </c>
      <c r="C906" s="268" t="s">
        <v>340</v>
      </c>
      <c r="D906" s="268" t="s">
        <v>152</v>
      </c>
      <c r="E906" s="268" t="s">
        <v>217</v>
      </c>
      <c r="F906" s="268" t="s">
        <v>314</v>
      </c>
      <c r="G906">
        <v>84</v>
      </c>
      <c r="H906">
        <v>538782</v>
      </c>
    </row>
    <row r="907" spans="2:8" x14ac:dyDescent="0.3">
      <c r="B907" s="268" t="s">
        <v>339</v>
      </c>
      <c r="C907" s="268" t="s">
        <v>340</v>
      </c>
      <c r="D907" s="268" t="s">
        <v>152</v>
      </c>
      <c r="E907" s="268" t="s">
        <v>217</v>
      </c>
      <c r="F907" s="268" t="s">
        <v>315</v>
      </c>
      <c r="G907">
        <v>85</v>
      </c>
      <c r="H907">
        <v>504938</v>
      </c>
    </row>
    <row r="908" spans="2:8" x14ac:dyDescent="0.3">
      <c r="B908" s="268" t="s">
        <v>339</v>
      </c>
      <c r="C908" s="268" t="s">
        <v>340</v>
      </c>
      <c r="D908" s="268" t="s">
        <v>152</v>
      </c>
      <c r="E908" s="268" t="s">
        <v>217</v>
      </c>
      <c r="F908" s="268" t="s">
        <v>316</v>
      </c>
      <c r="G908">
        <v>86</v>
      </c>
      <c r="H908">
        <v>438248</v>
      </c>
    </row>
    <row r="909" spans="2:8" x14ac:dyDescent="0.3">
      <c r="B909" s="268" t="s">
        <v>339</v>
      </c>
      <c r="C909" s="268" t="s">
        <v>340</v>
      </c>
      <c r="D909" s="268" t="s">
        <v>152</v>
      </c>
      <c r="E909" s="268" t="s">
        <v>217</v>
      </c>
      <c r="F909" s="268" t="s">
        <v>317</v>
      </c>
      <c r="G909">
        <v>87</v>
      </c>
      <c r="H909">
        <v>409821</v>
      </c>
    </row>
    <row r="910" spans="2:8" x14ac:dyDescent="0.3">
      <c r="B910" s="268" t="s">
        <v>339</v>
      </c>
      <c r="C910" s="268" t="s">
        <v>340</v>
      </c>
      <c r="D910" s="268" t="s">
        <v>152</v>
      </c>
      <c r="E910" s="268" t="s">
        <v>217</v>
      </c>
      <c r="F910" s="268" t="s">
        <v>318</v>
      </c>
      <c r="G910">
        <v>88</v>
      </c>
      <c r="H910">
        <v>377702</v>
      </c>
    </row>
    <row r="911" spans="2:8" x14ac:dyDescent="0.3">
      <c r="B911" s="268" t="s">
        <v>339</v>
      </c>
      <c r="C911" s="268" t="s">
        <v>340</v>
      </c>
      <c r="D911" s="268" t="s">
        <v>152</v>
      </c>
      <c r="E911" s="268" t="s">
        <v>217</v>
      </c>
      <c r="F911" s="268" t="s">
        <v>319</v>
      </c>
      <c r="G911">
        <v>89</v>
      </c>
      <c r="H911">
        <v>344233</v>
      </c>
    </row>
    <row r="912" spans="2:8" x14ac:dyDescent="0.3">
      <c r="B912" s="268" t="s">
        <v>339</v>
      </c>
      <c r="C912" s="268" t="s">
        <v>340</v>
      </c>
      <c r="D912" s="268" t="s">
        <v>152</v>
      </c>
      <c r="E912" s="268" t="s">
        <v>217</v>
      </c>
      <c r="F912" s="268" t="s">
        <v>320</v>
      </c>
      <c r="G912">
        <v>90</v>
      </c>
      <c r="H912">
        <v>311959</v>
      </c>
    </row>
    <row r="913" spans="1:8" x14ac:dyDescent="0.3">
      <c r="B913" s="268" t="s">
        <v>339</v>
      </c>
      <c r="C913" s="268" t="s">
        <v>340</v>
      </c>
      <c r="D913" s="268" t="s">
        <v>152</v>
      </c>
      <c r="E913" s="268" t="s">
        <v>217</v>
      </c>
      <c r="F913" s="268" t="s">
        <v>321</v>
      </c>
      <c r="G913">
        <v>91</v>
      </c>
      <c r="H913">
        <v>264971</v>
      </c>
    </row>
    <row r="914" spans="1:8" x14ac:dyDescent="0.3">
      <c r="B914" s="268" t="s">
        <v>339</v>
      </c>
      <c r="C914" s="268" t="s">
        <v>340</v>
      </c>
      <c r="D914" s="268" t="s">
        <v>152</v>
      </c>
      <c r="E914" s="268" t="s">
        <v>217</v>
      </c>
      <c r="F914" s="268" t="s">
        <v>322</v>
      </c>
      <c r="G914">
        <v>92</v>
      </c>
      <c r="H914">
        <v>232310</v>
      </c>
    </row>
    <row r="915" spans="1:8" x14ac:dyDescent="0.3">
      <c r="B915" s="268" t="s">
        <v>339</v>
      </c>
      <c r="C915" s="268" t="s">
        <v>340</v>
      </c>
      <c r="D915" s="268" t="s">
        <v>152</v>
      </c>
      <c r="E915" s="268" t="s">
        <v>217</v>
      </c>
      <c r="F915" s="268" t="s">
        <v>323</v>
      </c>
      <c r="G915">
        <v>93</v>
      </c>
      <c r="H915">
        <v>195898</v>
      </c>
    </row>
    <row r="916" spans="1:8" x14ac:dyDescent="0.3">
      <c r="B916" s="268" t="s">
        <v>339</v>
      </c>
      <c r="C916" s="268" t="s">
        <v>340</v>
      </c>
      <c r="D916" s="268" t="s">
        <v>152</v>
      </c>
      <c r="E916" s="268" t="s">
        <v>217</v>
      </c>
      <c r="F916" s="268" t="s">
        <v>324</v>
      </c>
      <c r="G916">
        <v>94</v>
      </c>
      <c r="H916">
        <v>159746</v>
      </c>
    </row>
    <row r="917" spans="1:8" x14ac:dyDescent="0.3">
      <c r="B917" s="268" t="s">
        <v>339</v>
      </c>
      <c r="C917" s="268" t="s">
        <v>340</v>
      </c>
      <c r="D917" s="268" t="s">
        <v>152</v>
      </c>
      <c r="E917" s="268" t="s">
        <v>217</v>
      </c>
      <c r="F917" s="268" t="s">
        <v>325</v>
      </c>
      <c r="G917">
        <v>95</v>
      </c>
      <c r="H917">
        <v>131157</v>
      </c>
    </row>
    <row r="918" spans="1:8" x14ac:dyDescent="0.3">
      <c r="B918" s="268" t="s">
        <v>339</v>
      </c>
      <c r="C918" s="268" t="s">
        <v>340</v>
      </c>
      <c r="D918" s="268" t="s">
        <v>152</v>
      </c>
      <c r="E918" s="268" t="s">
        <v>217</v>
      </c>
      <c r="F918" s="268" t="s">
        <v>326</v>
      </c>
      <c r="G918">
        <v>96</v>
      </c>
      <c r="H918">
        <v>102496</v>
      </c>
    </row>
    <row r="919" spans="1:8" x14ac:dyDescent="0.3">
      <c r="B919" s="268" t="s">
        <v>339</v>
      </c>
      <c r="C919" s="268" t="s">
        <v>340</v>
      </c>
      <c r="D919" s="268" t="s">
        <v>152</v>
      </c>
      <c r="E919" s="268" t="s">
        <v>217</v>
      </c>
      <c r="F919" s="268" t="s">
        <v>327</v>
      </c>
      <c r="G919">
        <v>97</v>
      </c>
      <c r="H919">
        <v>76735</v>
      </c>
    </row>
    <row r="920" spans="1:8" x14ac:dyDescent="0.3">
      <c r="B920" s="268" t="s">
        <v>339</v>
      </c>
      <c r="C920" s="268" t="s">
        <v>340</v>
      </c>
      <c r="D920" s="268" t="s">
        <v>152</v>
      </c>
      <c r="E920" s="268" t="s">
        <v>217</v>
      </c>
      <c r="F920" s="268" t="s">
        <v>328</v>
      </c>
      <c r="G920">
        <v>98</v>
      </c>
      <c r="H920">
        <v>57407</v>
      </c>
    </row>
    <row r="921" spans="1:8" x14ac:dyDescent="0.3">
      <c r="B921" s="268" t="s">
        <v>339</v>
      </c>
      <c r="C921" s="268" t="s">
        <v>340</v>
      </c>
      <c r="D921" s="268" t="s">
        <v>152</v>
      </c>
      <c r="E921" s="268" t="s">
        <v>217</v>
      </c>
      <c r="F921" s="268" t="s">
        <v>329</v>
      </c>
      <c r="G921">
        <v>99</v>
      </c>
      <c r="H921">
        <v>40872</v>
      </c>
    </row>
    <row r="922" spans="1:8" x14ac:dyDescent="0.3">
      <c r="B922" s="268" t="s">
        <v>339</v>
      </c>
      <c r="C922" s="268" t="s">
        <v>340</v>
      </c>
      <c r="D922" s="268" t="s">
        <v>152</v>
      </c>
      <c r="E922" s="268" t="s">
        <v>217</v>
      </c>
      <c r="F922" s="268" t="s">
        <v>330</v>
      </c>
      <c r="G922" t="s">
        <v>331</v>
      </c>
      <c r="H922">
        <v>59198</v>
      </c>
    </row>
    <row r="923" spans="1:8" x14ac:dyDescent="0.3">
      <c r="A923" s="268" t="s">
        <v>70</v>
      </c>
      <c r="B923" s="268" t="s">
        <v>339</v>
      </c>
      <c r="C923" s="268" t="s">
        <v>340</v>
      </c>
      <c r="D923" s="268" t="s">
        <v>152</v>
      </c>
      <c r="E923" s="268" t="s">
        <v>217</v>
      </c>
      <c r="H923">
        <v>128474383</v>
      </c>
    </row>
    <row r="924" spans="1:8" x14ac:dyDescent="0.3">
      <c r="B924" s="268" t="s">
        <v>339</v>
      </c>
      <c r="C924" s="268" t="s">
        <v>340</v>
      </c>
      <c r="D924" s="268" t="s">
        <v>151</v>
      </c>
      <c r="E924" s="268" t="s">
        <v>332</v>
      </c>
      <c r="F924" s="268" t="s">
        <v>218</v>
      </c>
      <c r="G924">
        <v>0</v>
      </c>
      <c r="H924">
        <v>1491474</v>
      </c>
    </row>
    <row r="925" spans="1:8" x14ac:dyDescent="0.3">
      <c r="B925" s="268" t="s">
        <v>339</v>
      </c>
      <c r="C925" s="268" t="s">
        <v>340</v>
      </c>
      <c r="D925" s="268" t="s">
        <v>151</v>
      </c>
      <c r="E925" s="268" t="s">
        <v>332</v>
      </c>
      <c r="F925" s="268" t="s">
        <v>220</v>
      </c>
      <c r="G925">
        <v>1</v>
      </c>
      <c r="H925">
        <v>1494174</v>
      </c>
    </row>
    <row r="926" spans="1:8" x14ac:dyDescent="0.3">
      <c r="B926" s="268" t="s">
        <v>339</v>
      </c>
      <c r="C926" s="268" t="s">
        <v>340</v>
      </c>
      <c r="D926" s="268" t="s">
        <v>151</v>
      </c>
      <c r="E926" s="268" t="s">
        <v>332</v>
      </c>
      <c r="F926" s="268" t="s">
        <v>221</v>
      </c>
      <c r="G926">
        <v>2</v>
      </c>
      <c r="H926">
        <v>1495381</v>
      </c>
    </row>
    <row r="927" spans="1:8" x14ac:dyDescent="0.3">
      <c r="B927" s="268" t="s">
        <v>339</v>
      </c>
      <c r="C927" s="268" t="s">
        <v>340</v>
      </c>
      <c r="D927" s="268" t="s">
        <v>151</v>
      </c>
      <c r="E927" s="268" t="s">
        <v>332</v>
      </c>
      <c r="F927" s="268" t="s">
        <v>223</v>
      </c>
      <c r="G927">
        <v>3</v>
      </c>
      <c r="H927">
        <v>1494959</v>
      </c>
    </row>
    <row r="928" spans="1:8" x14ac:dyDescent="0.3">
      <c r="B928" s="268" t="s">
        <v>339</v>
      </c>
      <c r="C928" s="268" t="s">
        <v>340</v>
      </c>
      <c r="D928" s="268" t="s">
        <v>151</v>
      </c>
      <c r="E928" s="268" t="s">
        <v>332</v>
      </c>
      <c r="F928" s="268" t="s">
        <v>225</v>
      </c>
      <c r="G928">
        <v>4</v>
      </c>
      <c r="H928">
        <v>1493157</v>
      </c>
    </row>
    <row r="929" spans="2:8" x14ac:dyDescent="0.3">
      <c r="B929" s="268" t="s">
        <v>339</v>
      </c>
      <c r="C929" s="268" t="s">
        <v>340</v>
      </c>
      <c r="D929" s="268" t="s">
        <v>151</v>
      </c>
      <c r="E929" s="268" t="s">
        <v>332</v>
      </c>
      <c r="F929" s="268" t="s">
        <v>226</v>
      </c>
      <c r="G929">
        <v>5</v>
      </c>
      <c r="H929">
        <v>1490526</v>
      </c>
    </row>
    <row r="930" spans="2:8" x14ac:dyDescent="0.3">
      <c r="B930" s="268" t="s">
        <v>339</v>
      </c>
      <c r="C930" s="268" t="s">
        <v>340</v>
      </c>
      <c r="D930" s="268" t="s">
        <v>151</v>
      </c>
      <c r="E930" s="268" t="s">
        <v>332</v>
      </c>
      <c r="F930" s="268" t="s">
        <v>227</v>
      </c>
      <c r="G930">
        <v>6</v>
      </c>
      <c r="H930">
        <v>1487565</v>
      </c>
    </row>
    <row r="931" spans="2:8" x14ac:dyDescent="0.3">
      <c r="B931" s="268" t="s">
        <v>339</v>
      </c>
      <c r="C931" s="268" t="s">
        <v>340</v>
      </c>
      <c r="D931" s="268" t="s">
        <v>151</v>
      </c>
      <c r="E931" s="268" t="s">
        <v>332</v>
      </c>
      <c r="F931" s="268" t="s">
        <v>229</v>
      </c>
      <c r="G931">
        <v>7</v>
      </c>
      <c r="H931">
        <v>1477155</v>
      </c>
    </row>
    <row r="932" spans="2:8" x14ac:dyDescent="0.3">
      <c r="B932" s="268" t="s">
        <v>339</v>
      </c>
      <c r="C932" s="268" t="s">
        <v>340</v>
      </c>
      <c r="D932" s="268" t="s">
        <v>151</v>
      </c>
      <c r="E932" s="268" t="s">
        <v>332</v>
      </c>
      <c r="F932" s="268" t="s">
        <v>230</v>
      </c>
      <c r="G932">
        <v>8</v>
      </c>
      <c r="H932">
        <v>1477680</v>
      </c>
    </row>
    <row r="933" spans="2:8" x14ac:dyDescent="0.3">
      <c r="B933" s="268" t="s">
        <v>339</v>
      </c>
      <c r="C933" s="268" t="s">
        <v>340</v>
      </c>
      <c r="D933" s="268" t="s">
        <v>151</v>
      </c>
      <c r="E933" s="268" t="s">
        <v>332</v>
      </c>
      <c r="F933" s="268" t="s">
        <v>231</v>
      </c>
      <c r="G933">
        <v>9</v>
      </c>
      <c r="H933">
        <v>1494785</v>
      </c>
    </row>
    <row r="934" spans="2:8" x14ac:dyDescent="0.3">
      <c r="B934" s="268" t="s">
        <v>339</v>
      </c>
      <c r="C934" s="268" t="s">
        <v>340</v>
      </c>
      <c r="D934" s="268" t="s">
        <v>151</v>
      </c>
      <c r="E934" s="268" t="s">
        <v>332</v>
      </c>
      <c r="F934" s="268" t="s">
        <v>233</v>
      </c>
      <c r="G934">
        <v>10</v>
      </c>
      <c r="H934">
        <v>1493279</v>
      </c>
    </row>
    <row r="935" spans="2:8" x14ac:dyDescent="0.3">
      <c r="B935" s="268" t="s">
        <v>339</v>
      </c>
      <c r="C935" s="268" t="s">
        <v>340</v>
      </c>
      <c r="D935" s="268" t="s">
        <v>151</v>
      </c>
      <c r="E935" s="268" t="s">
        <v>332</v>
      </c>
      <c r="F935" s="268" t="s">
        <v>234</v>
      </c>
      <c r="G935">
        <v>11</v>
      </c>
      <c r="H935">
        <v>1496300</v>
      </c>
    </row>
    <row r="936" spans="2:8" x14ac:dyDescent="0.3">
      <c r="B936" s="268" t="s">
        <v>339</v>
      </c>
      <c r="C936" s="268" t="s">
        <v>340</v>
      </c>
      <c r="D936" s="268" t="s">
        <v>151</v>
      </c>
      <c r="E936" s="268" t="s">
        <v>332</v>
      </c>
      <c r="F936" s="268" t="s">
        <v>235</v>
      </c>
      <c r="G936">
        <v>12</v>
      </c>
      <c r="H936">
        <v>1547330</v>
      </c>
    </row>
    <row r="937" spans="2:8" x14ac:dyDescent="0.3">
      <c r="B937" s="268" t="s">
        <v>339</v>
      </c>
      <c r="C937" s="268" t="s">
        <v>340</v>
      </c>
      <c r="D937" s="268" t="s">
        <v>151</v>
      </c>
      <c r="E937" s="268" t="s">
        <v>332</v>
      </c>
      <c r="F937" s="268" t="s">
        <v>237</v>
      </c>
      <c r="G937">
        <v>13</v>
      </c>
      <c r="H937">
        <v>1563007</v>
      </c>
    </row>
    <row r="938" spans="2:8" x14ac:dyDescent="0.3">
      <c r="B938" s="268" t="s">
        <v>339</v>
      </c>
      <c r="C938" s="268" t="s">
        <v>340</v>
      </c>
      <c r="D938" s="268" t="s">
        <v>151</v>
      </c>
      <c r="E938" s="268" t="s">
        <v>332</v>
      </c>
      <c r="F938" s="268" t="s">
        <v>239</v>
      </c>
      <c r="G938">
        <v>14</v>
      </c>
      <c r="H938">
        <v>1562362</v>
      </c>
    </row>
    <row r="939" spans="2:8" x14ac:dyDescent="0.3">
      <c r="B939" s="268" t="s">
        <v>339</v>
      </c>
      <c r="C939" s="268" t="s">
        <v>340</v>
      </c>
      <c r="D939" s="268" t="s">
        <v>151</v>
      </c>
      <c r="E939" s="268" t="s">
        <v>332</v>
      </c>
      <c r="F939" s="268" t="s">
        <v>241</v>
      </c>
      <c r="G939">
        <v>15</v>
      </c>
      <c r="H939">
        <v>1563797</v>
      </c>
    </row>
    <row r="940" spans="2:8" x14ac:dyDescent="0.3">
      <c r="B940" s="268" t="s">
        <v>339</v>
      </c>
      <c r="C940" s="268" t="s">
        <v>340</v>
      </c>
      <c r="D940" s="268" t="s">
        <v>151</v>
      </c>
      <c r="E940" s="268" t="s">
        <v>332</v>
      </c>
      <c r="F940" s="268" t="s">
        <v>243</v>
      </c>
      <c r="G940">
        <v>16</v>
      </c>
      <c r="H940">
        <v>1577380</v>
      </c>
    </row>
    <row r="941" spans="2:8" x14ac:dyDescent="0.3">
      <c r="B941" s="268" t="s">
        <v>339</v>
      </c>
      <c r="C941" s="268" t="s">
        <v>340</v>
      </c>
      <c r="D941" s="268" t="s">
        <v>151</v>
      </c>
      <c r="E941" s="268" t="s">
        <v>332</v>
      </c>
      <c r="F941" s="268" t="s">
        <v>245</v>
      </c>
      <c r="G941">
        <v>17</v>
      </c>
      <c r="H941">
        <v>1574228</v>
      </c>
    </row>
    <row r="942" spans="2:8" x14ac:dyDescent="0.3">
      <c r="B942" s="268" t="s">
        <v>339</v>
      </c>
      <c r="C942" s="268" t="s">
        <v>340</v>
      </c>
      <c r="D942" s="268" t="s">
        <v>151</v>
      </c>
      <c r="E942" s="268" t="s">
        <v>332</v>
      </c>
      <c r="F942" s="268" t="s">
        <v>247</v>
      </c>
      <c r="G942">
        <v>18</v>
      </c>
      <c r="H942">
        <v>1577384</v>
      </c>
    </row>
    <row r="943" spans="2:8" x14ac:dyDescent="0.3">
      <c r="B943" s="268" t="s">
        <v>339</v>
      </c>
      <c r="C943" s="268" t="s">
        <v>340</v>
      </c>
      <c r="D943" s="268" t="s">
        <v>151</v>
      </c>
      <c r="E943" s="268" t="s">
        <v>332</v>
      </c>
      <c r="F943" s="268" t="s">
        <v>249</v>
      </c>
      <c r="G943">
        <v>19</v>
      </c>
      <c r="H943">
        <v>1624224</v>
      </c>
    </row>
    <row r="944" spans="2:8" x14ac:dyDescent="0.3">
      <c r="B944" s="268" t="s">
        <v>339</v>
      </c>
      <c r="C944" s="268" t="s">
        <v>340</v>
      </c>
      <c r="D944" s="268" t="s">
        <v>151</v>
      </c>
      <c r="E944" s="268" t="s">
        <v>332</v>
      </c>
      <c r="F944" s="268" t="s">
        <v>250</v>
      </c>
      <c r="G944">
        <v>20</v>
      </c>
      <c r="H944">
        <v>1661897</v>
      </c>
    </row>
    <row r="945" spans="2:8" x14ac:dyDescent="0.3">
      <c r="B945" s="268" t="s">
        <v>339</v>
      </c>
      <c r="C945" s="268" t="s">
        <v>340</v>
      </c>
      <c r="D945" s="268" t="s">
        <v>151</v>
      </c>
      <c r="E945" s="268" t="s">
        <v>332</v>
      </c>
      <c r="F945" s="268" t="s">
        <v>251</v>
      </c>
      <c r="G945">
        <v>21</v>
      </c>
      <c r="H945">
        <v>1651149</v>
      </c>
    </row>
    <row r="946" spans="2:8" x14ac:dyDescent="0.3">
      <c r="B946" s="268" t="s">
        <v>339</v>
      </c>
      <c r="C946" s="268" t="s">
        <v>340</v>
      </c>
      <c r="D946" s="268" t="s">
        <v>151</v>
      </c>
      <c r="E946" s="268" t="s">
        <v>332</v>
      </c>
      <c r="F946" s="268" t="s">
        <v>252</v>
      </c>
      <c r="G946">
        <v>22</v>
      </c>
      <c r="H946">
        <v>1659332</v>
      </c>
    </row>
    <row r="947" spans="2:8" x14ac:dyDescent="0.3">
      <c r="B947" s="268" t="s">
        <v>339</v>
      </c>
      <c r="C947" s="268" t="s">
        <v>340</v>
      </c>
      <c r="D947" s="268" t="s">
        <v>151</v>
      </c>
      <c r="E947" s="268" t="s">
        <v>332</v>
      </c>
      <c r="F947" s="268" t="s">
        <v>253</v>
      </c>
      <c r="G947">
        <v>23</v>
      </c>
      <c r="H947">
        <v>1670818</v>
      </c>
    </row>
    <row r="948" spans="2:8" x14ac:dyDescent="0.3">
      <c r="B948" s="268" t="s">
        <v>339</v>
      </c>
      <c r="C948" s="268" t="s">
        <v>340</v>
      </c>
      <c r="D948" s="268" t="s">
        <v>151</v>
      </c>
      <c r="E948" s="268" t="s">
        <v>332</v>
      </c>
      <c r="F948" s="268" t="s">
        <v>254</v>
      </c>
      <c r="G948">
        <v>24</v>
      </c>
      <c r="H948">
        <v>1693980</v>
      </c>
    </row>
    <row r="949" spans="2:8" x14ac:dyDescent="0.3">
      <c r="B949" s="268" t="s">
        <v>339</v>
      </c>
      <c r="C949" s="268" t="s">
        <v>340</v>
      </c>
      <c r="D949" s="268" t="s">
        <v>151</v>
      </c>
      <c r="E949" s="268" t="s">
        <v>332</v>
      </c>
      <c r="F949" s="268" t="s">
        <v>255</v>
      </c>
      <c r="G949">
        <v>25</v>
      </c>
      <c r="H949">
        <v>1726946</v>
      </c>
    </row>
    <row r="950" spans="2:8" x14ac:dyDescent="0.3">
      <c r="B950" s="268" t="s">
        <v>339</v>
      </c>
      <c r="C950" s="268" t="s">
        <v>340</v>
      </c>
      <c r="D950" s="268" t="s">
        <v>151</v>
      </c>
      <c r="E950" s="268" t="s">
        <v>332</v>
      </c>
      <c r="F950" s="268" t="s">
        <v>256</v>
      </c>
      <c r="G950">
        <v>26</v>
      </c>
      <c r="H950">
        <v>1753834</v>
      </c>
    </row>
    <row r="951" spans="2:8" x14ac:dyDescent="0.3">
      <c r="B951" s="268" t="s">
        <v>339</v>
      </c>
      <c r="C951" s="268" t="s">
        <v>340</v>
      </c>
      <c r="D951" s="268" t="s">
        <v>151</v>
      </c>
      <c r="E951" s="268" t="s">
        <v>332</v>
      </c>
      <c r="F951" s="268" t="s">
        <v>257</v>
      </c>
      <c r="G951">
        <v>27</v>
      </c>
      <c r="H951">
        <v>1775674</v>
      </c>
    </row>
    <row r="952" spans="2:8" x14ac:dyDescent="0.3">
      <c r="B952" s="268" t="s">
        <v>339</v>
      </c>
      <c r="C952" s="268" t="s">
        <v>340</v>
      </c>
      <c r="D952" s="268" t="s">
        <v>151</v>
      </c>
      <c r="E952" s="268" t="s">
        <v>332</v>
      </c>
      <c r="F952" s="268" t="s">
        <v>258</v>
      </c>
      <c r="G952">
        <v>28</v>
      </c>
      <c r="H952">
        <v>1814321</v>
      </c>
    </row>
    <row r="953" spans="2:8" x14ac:dyDescent="0.3">
      <c r="B953" s="268" t="s">
        <v>339</v>
      </c>
      <c r="C953" s="268" t="s">
        <v>340</v>
      </c>
      <c r="D953" s="268" t="s">
        <v>151</v>
      </c>
      <c r="E953" s="268" t="s">
        <v>332</v>
      </c>
      <c r="F953" s="268" t="s">
        <v>259</v>
      </c>
      <c r="G953">
        <v>29</v>
      </c>
      <c r="H953">
        <v>1834721</v>
      </c>
    </row>
    <row r="954" spans="2:8" x14ac:dyDescent="0.3">
      <c r="B954" s="268" t="s">
        <v>339</v>
      </c>
      <c r="C954" s="268" t="s">
        <v>340</v>
      </c>
      <c r="D954" s="268" t="s">
        <v>151</v>
      </c>
      <c r="E954" s="268" t="s">
        <v>332</v>
      </c>
      <c r="F954" s="268" t="s">
        <v>260</v>
      </c>
      <c r="G954">
        <v>30</v>
      </c>
      <c r="H954">
        <v>1832336</v>
      </c>
    </row>
    <row r="955" spans="2:8" x14ac:dyDescent="0.3">
      <c r="B955" s="268" t="s">
        <v>339</v>
      </c>
      <c r="C955" s="268" t="s">
        <v>340</v>
      </c>
      <c r="D955" s="268" t="s">
        <v>151</v>
      </c>
      <c r="E955" s="268" t="s">
        <v>332</v>
      </c>
      <c r="F955" s="268" t="s">
        <v>261</v>
      </c>
      <c r="G955">
        <v>31</v>
      </c>
      <c r="H955">
        <v>1766950</v>
      </c>
    </row>
    <row r="956" spans="2:8" x14ac:dyDescent="0.3">
      <c r="B956" s="268" t="s">
        <v>339</v>
      </c>
      <c r="C956" s="268" t="s">
        <v>340</v>
      </c>
      <c r="D956" s="268" t="s">
        <v>151</v>
      </c>
      <c r="E956" s="268" t="s">
        <v>332</v>
      </c>
      <c r="F956" s="268" t="s">
        <v>262</v>
      </c>
      <c r="G956">
        <v>32</v>
      </c>
      <c r="H956">
        <v>1735788</v>
      </c>
    </row>
    <row r="957" spans="2:8" x14ac:dyDescent="0.3">
      <c r="B957" s="268" t="s">
        <v>339</v>
      </c>
      <c r="C957" s="268" t="s">
        <v>340</v>
      </c>
      <c r="D957" s="268" t="s">
        <v>151</v>
      </c>
      <c r="E957" s="268" t="s">
        <v>332</v>
      </c>
      <c r="F957" s="268" t="s">
        <v>263</v>
      </c>
      <c r="G957">
        <v>33</v>
      </c>
      <c r="H957">
        <v>1713972</v>
      </c>
    </row>
    <row r="958" spans="2:8" x14ac:dyDescent="0.3">
      <c r="B958" s="268" t="s">
        <v>339</v>
      </c>
      <c r="C958" s="268" t="s">
        <v>340</v>
      </c>
      <c r="D958" s="268" t="s">
        <v>151</v>
      </c>
      <c r="E958" s="268" t="s">
        <v>332</v>
      </c>
      <c r="F958" s="268" t="s">
        <v>264</v>
      </c>
      <c r="G958">
        <v>34</v>
      </c>
      <c r="H958">
        <v>1722246</v>
      </c>
    </row>
    <row r="959" spans="2:8" x14ac:dyDescent="0.3">
      <c r="B959" s="268" t="s">
        <v>339</v>
      </c>
      <c r="C959" s="268" t="s">
        <v>340</v>
      </c>
      <c r="D959" s="268" t="s">
        <v>151</v>
      </c>
      <c r="E959" s="268" t="s">
        <v>332</v>
      </c>
      <c r="F959" s="268" t="s">
        <v>265</v>
      </c>
      <c r="G959">
        <v>35</v>
      </c>
      <c r="H959">
        <v>1731339</v>
      </c>
    </row>
    <row r="960" spans="2:8" x14ac:dyDescent="0.3">
      <c r="B960" s="268" t="s">
        <v>339</v>
      </c>
      <c r="C960" s="268" t="s">
        <v>340</v>
      </c>
      <c r="D960" s="268" t="s">
        <v>151</v>
      </c>
      <c r="E960" s="268" t="s">
        <v>332</v>
      </c>
      <c r="F960" s="268" t="s">
        <v>266</v>
      </c>
      <c r="G960">
        <v>36</v>
      </c>
      <c r="H960">
        <v>1669535</v>
      </c>
    </row>
    <row r="961" spans="2:8" x14ac:dyDescent="0.3">
      <c r="B961" s="268" t="s">
        <v>339</v>
      </c>
      <c r="C961" s="268" t="s">
        <v>340</v>
      </c>
      <c r="D961" s="268" t="s">
        <v>151</v>
      </c>
      <c r="E961" s="268" t="s">
        <v>332</v>
      </c>
      <c r="F961" s="268" t="s">
        <v>267</v>
      </c>
      <c r="G961">
        <v>37</v>
      </c>
      <c r="H961">
        <v>1690760</v>
      </c>
    </row>
    <row r="962" spans="2:8" x14ac:dyDescent="0.3">
      <c r="B962" s="268" t="s">
        <v>339</v>
      </c>
      <c r="C962" s="268" t="s">
        <v>340</v>
      </c>
      <c r="D962" s="268" t="s">
        <v>151</v>
      </c>
      <c r="E962" s="268" t="s">
        <v>332</v>
      </c>
      <c r="F962" s="268" t="s">
        <v>268</v>
      </c>
      <c r="G962">
        <v>38</v>
      </c>
      <c r="H962">
        <v>1687917</v>
      </c>
    </row>
    <row r="963" spans="2:8" x14ac:dyDescent="0.3">
      <c r="B963" s="268" t="s">
        <v>339</v>
      </c>
      <c r="C963" s="268" t="s">
        <v>340</v>
      </c>
      <c r="D963" s="268" t="s">
        <v>151</v>
      </c>
      <c r="E963" s="268" t="s">
        <v>332</v>
      </c>
      <c r="F963" s="268" t="s">
        <v>269</v>
      </c>
      <c r="G963">
        <v>39</v>
      </c>
      <c r="H963">
        <v>1669375</v>
      </c>
    </row>
    <row r="964" spans="2:8" x14ac:dyDescent="0.3">
      <c r="B964" s="268" t="s">
        <v>339</v>
      </c>
      <c r="C964" s="268" t="s">
        <v>340</v>
      </c>
      <c r="D964" s="268" t="s">
        <v>151</v>
      </c>
      <c r="E964" s="268" t="s">
        <v>332</v>
      </c>
      <c r="F964" s="268" t="s">
        <v>270</v>
      </c>
      <c r="G964">
        <v>40</v>
      </c>
      <c r="H964">
        <v>1699180</v>
      </c>
    </row>
    <row r="965" spans="2:8" x14ac:dyDescent="0.3">
      <c r="B965" s="268" t="s">
        <v>339</v>
      </c>
      <c r="C965" s="268" t="s">
        <v>340</v>
      </c>
      <c r="D965" s="268" t="s">
        <v>151</v>
      </c>
      <c r="E965" s="268" t="s">
        <v>332</v>
      </c>
      <c r="F965" s="268" t="s">
        <v>271</v>
      </c>
      <c r="G965">
        <v>41</v>
      </c>
      <c r="H965">
        <v>1588912</v>
      </c>
    </row>
    <row r="966" spans="2:8" x14ac:dyDescent="0.3">
      <c r="B966" s="268" t="s">
        <v>339</v>
      </c>
      <c r="C966" s="268" t="s">
        <v>340</v>
      </c>
      <c r="D966" s="268" t="s">
        <v>151</v>
      </c>
      <c r="E966" s="268" t="s">
        <v>332</v>
      </c>
      <c r="F966" s="268" t="s">
        <v>272</v>
      </c>
      <c r="G966">
        <v>42</v>
      </c>
      <c r="H966">
        <v>1558666</v>
      </c>
    </row>
    <row r="967" spans="2:8" x14ac:dyDescent="0.3">
      <c r="B967" s="268" t="s">
        <v>339</v>
      </c>
      <c r="C967" s="268" t="s">
        <v>340</v>
      </c>
      <c r="D967" s="268" t="s">
        <v>151</v>
      </c>
      <c r="E967" s="268" t="s">
        <v>332</v>
      </c>
      <c r="F967" s="268" t="s">
        <v>273</v>
      </c>
      <c r="G967">
        <v>43</v>
      </c>
      <c r="H967">
        <v>1535587</v>
      </c>
    </row>
    <row r="968" spans="2:8" x14ac:dyDescent="0.3">
      <c r="B968" s="268" t="s">
        <v>339</v>
      </c>
      <c r="C968" s="268" t="s">
        <v>340</v>
      </c>
      <c r="D968" s="268" t="s">
        <v>151</v>
      </c>
      <c r="E968" s="268" t="s">
        <v>332</v>
      </c>
      <c r="F968" s="268" t="s">
        <v>274</v>
      </c>
      <c r="G968">
        <v>44</v>
      </c>
      <c r="H968">
        <v>1486569</v>
      </c>
    </row>
    <row r="969" spans="2:8" x14ac:dyDescent="0.3">
      <c r="B969" s="268" t="s">
        <v>339</v>
      </c>
      <c r="C969" s="268" t="s">
        <v>340</v>
      </c>
      <c r="D969" s="268" t="s">
        <v>151</v>
      </c>
      <c r="E969" s="268" t="s">
        <v>332</v>
      </c>
      <c r="F969" s="268" t="s">
        <v>275</v>
      </c>
      <c r="G969">
        <v>45</v>
      </c>
      <c r="H969">
        <v>1533935</v>
      </c>
    </row>
    <row r="970" spans="2:8" x14ac:dyDescent="0.3">
      <c r="B970" s="268" t="s">
        <v>339</v>
      </c>
      <c r="C970" s="268" t="s">
        <v>340</v>
      </c>
      <c r="D970" s="268" t="s">
        <v>151</v>
      </c>
      <c r="E970" s="268" t="s">
        <v>332</v>
      </c>
      <c r="F970" s="268" t="s">
        <v>276</v>
      </c>
      <c r="G970">
        <v>46</v>
      </c>
      <c r="H970">
        <v>1478319</v>
      </c>
    </row>
    <row r="971" spans="2:8" x14ac:dyDescent="0.3">
      <c r="B971" s="268" t="s">
        <v>339</v>
      </c>
      <c r="C971" s="268" t="s">
        <v>340</v>
      </c>
      <c r="D971" s="268" t="s">
        <v>151</v>
      </c>
      <c r="E971" s="268" t="s">
        <v>332</v>
      </c>
      <c r="F971" s="268" t="s">
        <v>277</v>
      </c>
      <c r="G971">
        <v>47</v>
      </c>
      <c r="H971">
        <v>1490370</v>
      </c>
    </row>
    <row r="972" spans="2:8" x14ac:dyDescent="0.3">
      <c r="B972" s="268" t="s">
        <v>339</v>
      </c>
      <c r="C972" s="268" t="s">
        <v>340</v>
      </c>
      <c r="D972" s="268" t="s">
        <v>151</v>
      </c>
      <c r="E972" s="268" t="s">
        <v>332</v>
      </c>
      <c r="F972" s="268" t="s">
        <v>278</v>
      </c>
      <c r="G972">
        <v>48</v>
      </c>
      <c r="H972">
        <v>1567641</v>
      </c>
    </row>
    <row r="973" spans="2:8" x14ac:dyDescent="0.3">
      <c r="B973" s="268" t="s">
        <v>339</v>
      </c>
      <c r="C973" s="268" t="s">
        <v>340</v>
      </c>
      <c r="D973" s="268" t="s">
        <v>151</v>
      </c>
      <c r="E973" s="268" t="s">
        <v>332</v>
      </c>
      <c r="F973" s="268" t="s">
        <v>279</v>
      </c>
      <c r="G973">
        <v>49</v>
      </c>
      <c r="H973">
        <v>1669282</v>
      </c>
    </row>
    <row r="974" spans="2:8" x14ac:dyDescent="0.3">
      <c r="B974" s="268" t="s">
        <v>339</v>
      </c>
      <c r="C974" s="268" t="s">
        <v>340</v>
      </c>
      <c r="D974" s="268" t="s">
        <v>151</v>
      </c>
      <c r="E974" s="268" t="s">
        <v>332</v>
      </c>
      <c r="F974" s="268" t="s">
        <v>280</v>
      </c>
      <c r="G974">
        <v>50</v>
      </c>
      <c r="H974">
        <v>1696691</v>
      </c>
    </row>
    <row r="975" spans="2:8" x14ac:dyDescent="0.3">
      <c r="B975" s="268" t="s">
        <v>339</v>
      </c>
      <c r="C975" s="268" t="s">
        <v>340</v>
      </c>
      <c r="D975" s="268" t="s">
        <v>151</v>
      </c>
      <c r="E975" s="268" t="s">
        <v>332</v>
      </c>
      <c r="F975" s="268" t="s">
        <v>281</v>
      </c>
      <c r="G975">
        <v>51</v>
      </c>
      <c r="H975">
        <v>1609309</v>
      </c>
    </row>
    <row r="976" spans="2:8" x14ac:dyDescent="0.3">
      <c r="B976" s="268" t="s">
        <v>339</v>
      </c>
      <c r="C976" s="268" t="s">
        <v>340</v>
      </c>
      <c r="D976" s="268" t="s">
        <v>151</v>
      </c>
      <c r="E976" s="268" t="s">
        <v>332</v>
      </c>
      <c r="F976" s="268" t="s">
        <v>282</v>
      </c>
      <c r="G976">
        <v>52</v>
      </c>
      <c r="H976">
        <v>1567748</v>
      </c>
    </row>
    <row r="977" spans="2:8" x14ac:dyDescent="0.3">
      <c r="B977" s="268" t="s">
        <v>339</v>
      </c>
      <c r="C977" s="268" t="s">
        <v>340</v>
      </c>
      <c r="D977" s="268" t="s">
        <v>151</v>
      </c>
      <c r="E977" s="268" t="s">
        <v>332</v>
      </c>
      <c r="F977" s="268" t="s">
        <v>283</v>
      </c>
      <c r="G977">
        <v>53</v>
      </c>
      <c r="H977">
        <v>1571385</v>
      </c>
    </row>
    <row r="978" spans="2:8" x14ac:dyDescent="0.3">
      <c r="B978" s="268" t="s">
        <v>339</v>
      </c>
      <c r="C978" s="268" t="s">
        <v>340</v>
      </c>
      <c r="D978" s="268" t="s">
        <v>151</v>
      </c>
      <c r="E978" s="268" t="s">
        <v>332</v>
      </c>
      <c r="F978" s="268" t="s">
        <v>284</v>
      </c>
      <c r="G978">
        <v>54</v>
      </c>
      <c r="H978">
        <v>1592499</v>
      </c>
    </row>
    <row r="979" spans="2:8" x14ac:dyDescent="0.3">
      <c r="B979" s="268" t="s">
        <v>339</v>
      </c>
      <c r="C979" s="268" t="s">
        <v>340</v>
      </c>
      <c r="D979" s="268" t="s">
        <v>151</v>
      </c>
      <c r="E979" s="268" t="s">
        <v>332</v>
      </c>
      <c r="F979" s="268" t="s">
        <v>285</v>
      </c>
      <c r="G979">
        <v>55</v>
      </c>
      <c r="H979">
        <v>1688783</v>
      </c>
    </row>
    <row r="980" spans="2:8" x14ac:dyDescent="0.3">
      <c r="B980" s="268" t="s">
        <v>339</v>
      </c>
      <c r="C980" s="268" t="s">
        <v>340</v>
      </c>
      <c r="D980" s="268" t="s">
        <v>151</v>
      </c>
      <c r="E980" s="268" t="s">
        <v>332</v>
      </c>
      <c r="F980" s="268" t="s">
        <v>286</v>
      </c>
      <c r="G980">
        <v>56</v>
      </c>
      <c r="H980">
        <v>1718092</v>
      </c>
    </row>
    <row r="981" spans="2:8" x14ac:dyDescent="0.3">
      <c r="B981" s="268" t="s">
        <v>339</v>
      </c>
      <c r="C981" s="268" t="s">
        <v>340</v>
      </c>
      <c r="D981" s="268" t="s">
        <v>151</v>
      </c>
      <c r="E981" s="268" t="s">
        <v>332</v>
      </c>
      <c r="F981" s="268" t="s">
        <v>287</v>
      </c>
      <c r="G981">
        <v>57</v>
      </c>
      <c r="H981">
        <v>1711867</v>
      </c>
    </row>
    <row r="982" spans="2:8" x14ac:dyDescent="0.3">
      <c r="B982" s="268" t="s">
        <v>339</v>
      </c>
      <c r="C982" s="268" t="s">
        <v>340</v>
      </c>
      <c r="D982" s="268" t="s">
        <v>151</v>
      </c>
      <c r="E982" s="268" t="s">
        <v>332</v>
      </c>
      <c r="F982" s="268" t="s">
        <v>288</v>
      </c>
      <c r="G982">
        <v>58</v>
      </c>
      <c r="H982">
        <v>1714749</v>
      </c>
    </row>
    <row r="983" spans="2:8" x14ac:dyDescent="0.3">
      <c r="B983" s="268" t="s">
        <v>339</v>
      </c>
      <c r="C983" s="268" t="s">
        <v>340</v>
      </c>
      <c r="D983" s="268" t="s">
        <v>151</v>
      </c>
      <c r="E983" s="268" t="s">
        <v>332</v>
      </c>
      <c r="F983" s="268" t="s">
        <v>289</v>
      </c>
      <c r="G983">
        <v>59</v>
      </c>
      <c r="H983">
        <v>1734288</v>
      </c>
    </row>
    <row r="984" spans="2:8" x14ac:dyDescent="0.3">
      <c r="B984" s="268" t="s">
        <v>339</v>
      </c>
      <c r="C984" s="268" t="s">
        <v>340</v>
      </c>
      <c r="D984" s="268" t="s">
        <v>151</v>
      </c>
      <c r="E984" s="268" t="s">
        <v>332</v>
      </c>
      <c r="F984" s="268" t="s">
        <v>290</v>
      </c>
      <c r="G984">
        <v>60</v>
      </c>
      <c r="H984">
        <v>1738634</v>
      </c>
    </row>
    <row r="985" spans="2:8" x14ac:dyDescent="0.3">
      <c r="B985" s="268" t="s">
        <v>339</v>
      </c>
      <c r="C985" s="268" t="s">
        <v>340</v>
      </c>
      <c r="D985" s="268" t="s">
        <v>151</v>
      </c>
      <c r="E985" s="268" t="s">
        <v>332</v>
      </c>
      <c r="F985" s="268" t="s">
        <v>291</v>
      </c>
      <c r="G985">
        <v>61</v>
      </c>
      <c r="H985">
        <v>1677038</v>
      </c>
    </row>
    <row r="986" spans="2:8" x14ac:dyDescent="0.3">
      <c r="B986" s="268" t="s">
        <v>339</v>
      </c>
      <c r="C986" s="268" t="s">
        <v>340</v>
      </c>
      <c r="D986" s="268" t="s">
        <v>151</v>
      </c>
      <c r="E986" s="268" t="s">
        <v>332</v>
      </c>
      <c r="F986" s="268" t="s">
        <v>292</v>
      </c>
      <c r="G986">
        <v>62</v>
      </c>
      <c r="H986">
        <v>1663824</v>
      </c>
    </row>
    <row r="987" spans="2:8" x14ac:dyDescent="0.3">
      <c r="B987" s="268" t="s">
        <v>339</v>
      </c>
      <c r="C987" s="268" t="s">
        <v>340</v>
      </c>
      <c r="D987" s="268" t="s">
        <v>151</v>
      </c>
      <c r="E987" s="268" t="s">
        <v>332</v>
      </c>
      <c r="F987" s="268" t="s">
        <v>293</v>
      </c>
      <c r="G987">
        <v>63</v>
      </c>
      <c r="H987">
        <v>1638519</v>
      </c>
    </row>
    <row r="988" spans="2:8" x14ac:dyDescent="0.3">
      <c r="B988" s="268" t="s">
        <v>339</v>
      </c>
      <c r="C988" s="268" t="s">
        <v>340</v>
      </c>
      <c r="D988" s="268" t="s">
        <v>151</v>
      </c>
      <c r="E988" s="268" t="s">
        <v>332</v>
      </c>
      <c r="F988" s="268" t="s">
        <v>294</v>
      </c>
      <c r="G988">
        <v>64</v>
      </c>
      <c r="H988">
        <v>1569520</v>
      </c>
    </row>
    <row r="989" spans="2:8" x14ac:dyDescent="0.3">
      <c r="B989" s="268" t="s">
        <v>339</v>
      </c>
      <c r="C989" s="268" t="s">
        <v>340</v>
      </c>
      <c r="D989" s="268" t="s">
        <v>151</v>
      </c>
      <c r="E989" s="268" t="s">
        <v>332</v>
      </c>
      <c r="F989" s="268" t="s">
        <v>295</v>
      </c>
      <c r="G989">
        <v>65</v>
      </c>
      <c r="H989">
        <v>1551998</v>
      </c>
    </row>
    <row r="990" spans="2:8" x14ac:dyDescent="0.3">
      <c r="B990" s="268" t="s">
        <v>339</v>
      </c>
      <c r="C990" s="268" t="s">
        <v>340</v>
      </c>
      <c r="D990" s="268" t="s">
        <v>151</v>
      </c>
      <c r="E990" s="268" t="s">
        <v>332</v>
      </c>
      <c r="F990" s="268" t="s">
        <v>296</v>
      </c>
      <c r="G990">
        <v>66</v>
      </c>
      <c r="H990">
        <v>1482783</v>
      </c>
    </row>
    <row r="991" spans="2:8" x14ac:dyDescent="0.3">
      <c r="B991" s="268" t="s">
        <v>339</v>
      </c>
      <c r="C991" s="268" t="s">
        <v>340</v>
      </c>
      <c r="D991" s="268" t="s">
        <v>151</v>
      </c>
      <c r="E991" s="268" t="s">
        <v>332</v>
      </c>
      <c r="F991" s="268" t="s">
        <v>297</v>
      </c>
      <c r="G991">
        <v>67</v>
      </c>
      <c r="H991">
        <v>1422388</v>
      </c>
    </row>
    <row r="992" spans="2:8" x14ac:dyDescent="0.3">
      <c r="B992" s="268" t="s">
        <v>339</v>
      </c>
      <c r="C992" s="268" t="s">
        <v>340</v>
      </c>
      <c r="D992" s="268" t="s">
        <v>151</v>
      </c>
      <c r="E992" s="268" t="s">
        <v>332</v>
      </c>
      <c r="F992" s="268" t="s">
        <v>298</v>
      </c>
      <c r="G992">
        <v>68</v>
      </c>
      <c r="H992">
        <v>1364171</v>
      </c>
    </row>
    <row r="993" spans="2:8" x14ac:dyDescent="0.3">
      <c r="B993" s="268" t="s">
        <v>339</v>
      </c>
      <c r="C993" s="268" t="s">
        <v>340</v>
      </c>
      <c r="D993" s="268" t="s">
        <v>151</v>
      </c>
      <c r="E993" s="268" t="s">
        <v>332</v>
      </c>
      <c r="F993" s="268" t="s">
        <v>299</v>
      </c>
      <c r="G993">
        <v>69</v>
      </c>
      <c r="H993">
        <v>1305954</v>
      </c>
    </row>
    <row r="994" spans="2:8" x14ac:dyDescent="0.3">
      <c r="B994" s="268" t="s">
        <v>339</v>
      </c>
      <c r="C994" s="268" t="s">
        <v>340</v>
      </c>
      <c r="D994" s="268" t="s">
        <v>151</v>
      </c>
      <c r="E994" s="268" t="s">
        <v>332</v>
      </c>
      <c r="F994" s="268" t="s">
        <v>300</v>
      </c>
      <c r="G994">
        <v>70</v>
      </c>
      <c r="H994">
        <v>1260021</v>
      </c>
    </row>
    <row r="995" spans="2:8" x14ac:dyDescent="0.3">
      <c r="B995" s="268" t="s">
        <v>339</v>
      </c>
      <c r="C995" s="268" t="s">
        <v>340</v>
      </c>
      <c r="D995" s="268" t="s">
        <v>151</v>
      </c>
      <c r="E995" s="268" t="s">
        <v>332</v>
      </c>
      <c r="F995" s="268" t="s">
        <v>301</v>
      </c>
      <c r="G995">
        <v>71</v>
      </c>
      <c r="H995">
        <v>1222031</v>
      </c>
    </row>
    <row r="996" spans="2:8" x14ac:dyDescent="0.3">
      <c r="B996" s="268" t="s">
        <v>339</v>
      </c>
      <c r="C996" s="268" t="s">
        <v>340</v>
      </c>
      <c r="D996" s="268" t="s">
        <v>151</v>
      </c>
      <c r="E996" s="268" t="s">
        <v>332</v>
      </c>
      <c r="F996" s="268" t="s">
        <v>302</v>
      </c>
      <c r="G996">
        <v>72</v>
      </c>
      <c r="H996">
        <v>1208819</v>
      </c>
    </row>
    <row r="997" spans="2:8" x14ac:dyDescent="0.3">
      <c r="B997" s="268" t="s">
        <v>339</v>
      </c>
      <c r="C997" s="268" t="s">
        <v>340</v>
      </c>
      <c r="D997" s="268" t="s">
        <v>151</v>
      </c>
      <c r="E997" s="268" t="s">
        <v>332</v>
      </c>
      <c r="F997" s="268" t="s">
        <v>303</v>
      </c>
      <c r="G997">
        <v>73</v>
      </c>
      <c r="H997">
        <v>1264447</v>
      </c>
    </row>
    <row r="998" spans="2:8" x14ac:dyDescent="0.3">
      <c r="B998" s="268" t="s">
        <v>339</v>
      </c>
      <c r="C998" s="268" t="s">
        <v>340</v>
      </c>
      <c r="D998" s="268" t="s">
        <v>151</v>
      </c>
      <c r="E998" s="268" t="s">
        <v>332</v>
      </c>
      <c r="F998" s="268" t="s">
        <v>304</v>
      </c>
      <c r="G998">
        <v>74</v>
      </c>
      <c r="H998">
        <v>899894</v>
      </c>
    </row>
    <row r="999" spans="2:8" x14ac:dyDescent="0.3">
      <c r="B999" s="268" t="s">
        <v>339</v>
      </c>
      <c r="C999" s="268" t="s">
        <v>340</v>
      </c>
      <c r="D999" s="268" t="s">
        <v>151</v>
      </c>
      <c r="E999" s="268" t="s">
        <v>332</v>
      </c>
      <c r="F999" s="268" t="s">
        <v>305</v>
      </c>
      <c r="G999">
        <v>75</v>
      </c>
      <c r="H999">
        <v>871827</v>
      </c>
    </row>
    <row r="1000" spans="2:8" x14ac:dyDescent="0.3">
      <c r="B1000" s="268" t="s">
        <v>339</v>
      </c>
      <c r="C1000" s="268" t="s">
        <v>340</v>
      </c>
      <c r="D1000" s="268" t="s">
        <v>151</v>
      </c>
      <c r="E1000" s="268" t="s">
        <v>332</v>
      </c>
      <c r="F1000" s="268" t="s">
        <v>306</v>
      </c>
      <c r="G1000">
        <v>76</v>
      </c>
      <c r="H1000">
        <v>839483</v>
      </c>
    </row>
    <row r="1001" spans="2:8" x14ac:dyDescent="0.3">
      <c r="B1001" s="268" t="s">
        <v>339</v>
      </c>
      <c r="C1001" s="268" t="s">
        <v>340</v>
      </c>
      <c r="D1001" s="268" t="s">
        <v>151</v>
      </c>
      <c r="E1001" s="268" t="s">
        <v>332</v>
      </c>
      <c r="F1001" s="268" t="s">
        <v>307</v>
      </c>
      <c r="G1001">
        <v>77</v>
      </c>
      <c r="H1001">
        <v>849991</v>
      </c>
    </row>
    <row r="1002" spans="2:8" x14ac:dyDescent="0.3">
      <c r="B1002" s="268" t="s">
        <v>339</v>
      </c>
      <c r="C1002" s="268" t="s">
        <v>340</v>
      </c>
      <c r="D1002" s="268" t="s">
        <v>151</v>
      </c>
      <c r="E1002" s="268" t="s">
        <v>332</v>
      </c>
      <c r="F1002" s="268" t="s">
        <v>308</v>
      </c>
      <c r="G1002">
        <v>78</v>
      </c>
      <c r="H1002">
        <v>715324</v>
      </c>
    </row>
    <row r="1003" spans="2:8" x14ac:dyDescent="0.3">
      <c r="B1003" s="268" t="s">
        <v>339</v>
      </c>
      <c r="C1003" s="268" t="s">
        <v>340</v>
      </c>
      <c r="D1003" s="268" t="s">
        <v>151</v>
      </c>
      <c r="E1003" s="268" t="s">
        <v>332</v>
      </c>
      <c r="F1003" s="268" t="s">
        <v>309</v>
      </c>
      <c r="G1003">
        <v>79</v>
      </c>
      <c r="H1003">
        <v>630885</v>
      </c>
    </row>
    <row r="1004" spans="2:8" x14ac:dyDescent="0.3">
      <c r="B1004" s="268" t="s">
        <v>339</v>
      </c>
      <c r="C1004" s="268" t="s">
        <v>340</v>
      </c>
      <c r="D1004" s="268" t="s">
        <v>151</v>
      </c>
      <c r="E1004" s="268" t="s">
        <v>332</v>
      </c>
      <c r="F1004" s="268" t="s">
        <v>310</v>
      </c>
      <c r="G1004">
        <v>80</v>
      </c>
      <c r="H1004">
        <v>576322</v>
      </c>
    </row>
    <row r="1005" spans="2:8" x14ac:dyDescent="0.3">
      <c r="B1005" s="268" t="s">
        <v>339</v>
      </c>
      <c r="C1005" s="268" t="s">
        <v>340</v>
      </c>
      <c r="D1005" s="268" t="s">
        <v>151</v>
      </c>
      <c r="E1005" s="268" t="s">
        <v>332</v>
      </c>
      <c r="F1005" s="268" t="s">
        <v>311</v>
      </c>
      <c r="G1005">
        <v>81</v>
      </c>
      <c r="H1005">
        <v>529657</v>
      </c>
    </row>
    <row r="1006" spans="2:8" x14ac:dyDescent="0.3">
      <c r="B1006" s="268" t="s">
        <v>339</v>
      </c>
      <c r="C1006" s="268" t="s">
        <v>340</v>
      </c>
      <c r="D1006" s="268" t="s">
        <v>151</v>
      </c>
      <c r="E1006" s="268" t="s">
        <v>332</v>
      </c>
      <c r="F1006" s="268" t="s">
        <v>312</v>
      </c>
      <c r="G1006">
        <v>82</v>
      </c>
      <c r="H1006">
        <v>486404</v>
      </c>
    </row>
    <row r="1007" spans="2:8" x14ac:dyDescent="0.3">
      <c r="B1007" s="268" t="s">
        <v>339</v>
      </c>
      <c r="C1007" s="268" t="s">
        <v>340</v>
      </c>
      <c r="D1007" s="268" t="s">
        <v>151</v>
      </c>
      <c r="E1007" s="268" t="s">
        <v>332</v>
      </c>
      <c r="F1007" s="268" t="s">
        <v>313</v>
      </c>
      <c r="G1007">
        <v>83</v>
      </c>
      <c r="H1007">
        <v>427867</v>
      </c>
    </row>
    <row r="1008" spans="2:8" x14ac:dyDescent="0.3">
      <c r="B1008" s="268" t="s">
        <v>339</v>
      </c>
      <c r="C1008" s="268" t="s">
        <v>340</v>
      </c>
      <c r="D1008" s="268" t="s">
        <v>151</v>
      </c>
      <c r="E1008" s="268" t="s">
        <v>332</v>
      </c>
      <c r="F1008" s="268" t="s">
        <v>314</v>
      </c>
      <c r="G1008">
        <v>84</v>
      </c>
      <c r="H1008">
        <v>388115</v>
      </c>
    </row>
    <row r="1009" spans="2:8" x14ac:dyDescent="0.3">
      <c r="B1009" s="268" t="s">
        <v>339</v>
      </c>
      <c r="C1009" s="268" t="s">
        <v>340</v>
      </c>
      <c r="D1009" s="268" t="s">
        <v>151</v>
      </c>
      <c r="E1009" s="268" t="s">
        <v>332</v>
      </c>
      <c r="F1009" s="268" t="s">
        <v>315</v>
      </c>
      <c r="G1009">
        <v>85</v>
      </c>
      <c r="H1009">
        <v>351182</v>
      </c>
    </row>
    <row r="1010" spans="2:8" x14ac:dyDescent="0.3">
      <c r="B1010" s="268" t="s">
        <v>339</v>
      </c>
      <c r="C1010" s="268" t="s">
        <v>340</v>
      </c>
      <c r="D1010" s="268" t="s">
        <v>151</v>
      </c>
      <c r="E1010" s="268" t="s">
        <v>332</v>
      </c>
      <c r="F1010" s="268" t="s">
        <v>316</v>
      </c>
      <c r="G1010">
        <v>86</v>
      </c>
      <c r="H1010">
        <v>296277</v>
      </c>
    </row>
    <row r="1011" spans="2:8" x14ac:dyDescent="0.3">
      <c r="B1011" s="268" t="s">
        <v>339</v>
      </c>
      <c r="C1011" s="268" t="s">
        <v>340</v>
      </c>
      <c r="D1011" s="268" t="s">
        <v>151</v>
      </c>
      <c r="E1011" s="268" t="s">
        <v>332</v>
      </c>
      <c r="F1011" s="268" t="s">
        <v>317</v>
      </c>
      <c r="G1011">
        <v>87</v>
      </c>
      <c r="H1011">
        <v>266778</v>
      </c>
    </row>
    <row r="1012" spans="2:8" x14ac:dyDescent="0.3">
      <c r="B1012" s="268" t="s">
        <v>339</v>
      </c>
      <c r="C1012" s="268" t="s">
        <v>340</v>
      </c>
      <c r="D1012" s="268" t="s">
        <v>151</v>
      </c>
      <c r="E1012" s="268" t="s">
        <v>332</v>
      </c>
      <c r="F1012" s="268" t="s">
        <v>318</v>
      </c>
      <c r="G1012">
        <v>88</v>
      </c>
      <c r="H1012">
        <v>236488</v>
      </c>
    </row>
    <row r="1013" spans="2:8" x14ac:dyDescent="0.3">
      <c r="B1013" s="268" t="s">
        <v>339</v>
      </c>
      <c r="C1013" s="268" t="s">
        <v>340</v>
      </c>
      <c r="D1013" s="268" t="s">
        <v>151</v>
      </c>
      <c r="E1013" s="268" t="s">
        <v>332</v>
      </c>
      <c r="F1013" s="268" t="s">
        <v>319</v>
      </c>
      <c r="G1013">
        <v>89</v>
      </c>
      <c r="H1013">
        <v>206502</v>
      </c>
    </row>
    <row r="1014" spans="2:8" x14ac:dyDescent="0.3">
      <c r="B1014" s="268" t="s">
        <v>339</v>
      </c>
      <c r="C1014" s="268" t="s">
        <v>340</v>
      </c>
      <c r="D1014" s="268" t="s">
        <v>151</v>
      </c>
      <c r="E1014" s="268" t="s">
        <v>332</v>
      </c>
      <c r="F1014" s="268" t="s">
        <v>320</v>
      </c>
      <c r="G1014">
        <v>90</v>
      </c>
      <c r="H1014">
        <v>178315</v>
      </c>
    </row>
    <row r="1015" spans="2:8" x14ac:dyDescent="0.3">
      <c r="B1015" s="268" t="s">
        <v>339</v>
      </c>
      <c r="C1015" s="268" t="s">
        <v>340</v>
      </c>
      <c r="D1015" s="268" t="s">
        <v>151</v>
      </c>
      <c r="E1015" s="268" t="s">
        <v>332</v>
      </c>
      <c r="F1015" s="268" t="s">
        <v>321</v>
      </c>
      <c r="G1015">
        <v>91</v>
      </c>
      <c r="H1015">
        <v>144596</v>
      </c>
    </row>
    <row r="1016" spans="2:8" x14ac:dyDescent="0.3">
      <c r="B1016" s="268" t="s">
        <v>339</v>
      </c>
      <c r="C1016" s="268" t="s">
        <v>340</v>
      </c>
      <c r="D1016" s="268" t="s">
        <v>151</v>
      </c>
      <c r="E1016" s="268" t="s">
        <v>332</v>
      </c>
      <c r="F1016" s="268" t="s">
        <v>322</v>
      </c>
      <c r="G1016">
        <v>92</v>
      </c>
      <c r="H1016">
        <v>119429</v>
      </c>
    </row>
    <row r="1017" spans="2:8" x14ac:dyDescent="0.3">
      <c r="B1017" s="268" t="s">
        <v>339</v>
      </c>
      <c r="C1017" s="268" t="s">
        <v>340</v>
      </c>
      <c r="D1017" s="268" t="s">
        <v>151</v>
      </c>
      <c r="E1017" s="268" t="s">
        <v>332</v>
      </c>
      <c r="F1017" s="268" t="s">
        <v>323</v>
      </c>
      <c r="G1017">
        <v>93</v>
      </c>
      <c r="H1017">
        <v>95143</v>
      </c>
    </row>
    <row r="1018" spans="2:8" x14ac:dyDescent="0.3">
      <c r="B1018" s="268" t="s">
        <v>339</v>
      </c>
      <c r="C1018" s="268" t="s">
        <v>340</v>
      </c>
      <c r="D1018" s="268" t="s">
        <v>151</v>
      </c>
      <c r="E1018" s="268" t="s">
        <v>332</v>
      </c>
      <c r="F1018" s="268" t="s">
        <v>324</v>
      </c>
      <c r="G1018">
        <v>94</v>
      </c>
      <c r="H1018">
        <v>72802</v>
      </c>
    </row>
    <row r="1019" spans="2:8" x14ac:dyDescent="0.3">
      <c r="B1019" s="268" t="s">
        <v>339</v>
      </c>
      <c r="C1019" s="268" t="s">
        <v>340</v>
      </c>
      <c r="D1019" s="268" t="s">
        <v>151</v>
      </c>
      <c r="E1019" s="268" t="s">
        <v>332</v>
      </c>
      <c r="F1019" s="268" t="s">
        <v>325</v>
      </c>
      <c r="G1019">
        <v>95</v>
      </c>
      <c r="H1019">
        <v>55621</v>
      </c>
    </row>
    <row r="1020" spans="2:8" x14ac:dyDescent="0.3">
      <c r="B1020" s="268" t="s">
        <v>339</v>
      </c>
      <c r="C1020" s="268" t="s">
        <v>340</v>
      </c>
      <c r="D1020" s="268" t="s">
        <v>151</v>
      </c>
      <c r="E1020" s="268" t="s">
        <v>332</v>
      </c>
      <c r="F1020" s="268" t="s">
        <v>326</v>
      </c>
      <c r="G1020">
        <v>96</v>
      </c>
      <c r="H1020">
        <v>40886</v>
      </c>
    </row>
    <row r="1021" spans="2:8" x14ac:dyDescent="0.3">
      <c r="B1021" s="268" t="s">
        <v>339</v>
      </c>
      <c r="C1021" s="268" t="s">
        <v>340</v>
      </c>
      <c r="D1021" s="268" t="s">
        <v>151</v>
      </c>
      <c r="E1021" s="268" t="s">
        <v>332</v>
      </c>
      <c r="F1021" s="268" t="s">
        <v>327</v>
      </c>
      <c r="G1021">
        <v>97</v>
      </c>
      <c r="H1021">
        <v>29057</v>
      </c>
    </row>
    <row r="1022" spans="2:8" x14ac:dyDescent="0.3">
      <c r="B1022" s="268" t="s">
        <v>339</v>
      </c>
      <c r="C1022" s="268" t="s">
        <v>340</v>
      </c>
      <c r="D1022" s="268" t="s">
        <v>151</v>
      </c>
      <c r="E1022" s="268" t="s">
        <v>332</v>
      </c>
      <c r="F1022" s="268" t="s">
        <v>328</v>
      </c>
      <c r="G1022">
        <v>98</v>
      </c>
      <c r="H1022">
        <v>20171</v>
      </c>
    </row>
    <row r="1023" spans="2:8" x14ac:dyDescent="0.3">
      <c r="B1023" s="268" t="s">
        <v>339</v>
      </c>
      <c r="C1023" s="268" t="s">
        <v>340</v>
      </c>
      <c r="D1023" s="268" t="s">
        <v>151</v>
      </c>
      <c r="E1023" s="268" t="s">
        <v>332</v>
      </c>
      <c r="F1023" s="268" t="s">
        <v>329</v>
      </c>
      <c r="G1023">
        <v>99</v>
      </c>
      <c r="H1023">
        <v>13640</v>
      </c>
    </row>
    <row r="1024" spans="2:8" x14ac:dyDescent="0.3">
      <c r="B1024" s="268" t="s">
        <v>339</v>
      </c>
      <c r="C1024" s="268" t="s">
        <v>340</v>
      </c>
      <c r="D1024" s="268" t="s">
        <v>151</v>
      </c>
      <c r="E1024" s="268" t="s">
        <v>332</v>
      </c>
      <c r="F1024" s="268" t="s">
        <v>330</v>
      </c>
      <c r="G1024" t="s">
        <v>331</v>
      </c>
      <c r="H1024">
        <v>17034</v>
      </c>
    </row>
    <row r="1025" spans="1:8" x14ac:dyDescent="0.3">
      <c r="A1025" s="268" t="s">
        <v>70</v>
      </c>
      <c r="B1025" s="268" t="s">
        <v>339</v>
      </c>
      <c r="C1025" s="268" t="s">
        <v>340</v>
      </c>
      <c r="D1025" s="268" t="s">
        <v>151</v>
      </c>
      <c r="E1025" s="268" t="s">
        <v>332</v>
      </c>
      <c r="H1025">
        <v>126882746</v>
      </c>
    </row>
    <row r="1026" spans="1:8" x14ac:dyDescent="0.3">
      <c r="A1026" s="268" t="s">
        <v>70</v>
      </c>
      <c r="B1026" s="268" t="s">
        <v>339</v>
      </c>
      <c r="C1026" s="268" t="s">
        <v>340</v>
      </c>
      <c r="H1026">
        <v>255357129</v>
      </c>
    </row>
    <row r="1027" spans="1:8" x14ac:dyDescent="0.3">
      <c r="B1027" s="268" t="s">
        <v>341</v>
      </c>
      <c r="C1027" s="268" t="s">
        <v>342</v>
      </c>
      <c r="D1027" s="268" t="s">
        <v>152</v>
      </c>
      <c r="E1027" s="268" t="s">
        <v>217</v>
      </c>
      <c r="F1027" s="268" t="s">
        <v>218</v>
      </c>
      <c r="G1027">
        <v>0</v>
      </c>
      <c r="H1027">
        <v>143229</v>
      </c>
    </row>
    <row r="1028" spans="1:8" x14ac:dyDescent="0.3">
      <c r="B1028" s="268" t="s">
        <v>341</v>
      </c>
      <c r="C1028" s="268" t="s">
        <v>342</v>
      </c>
      <c r="D1028" s="268" t="s">
        <v>152</v>
      </c>
      <c r="E1028" s="268" t="s">
        <v>217</v>
      </c>
      <c r="F1028" s="268" t="s">
        <v>220</v>
      </c>
      <c r="G1028">
        <v>1</v>
      </c>
      <c r="H1028">
        <v>140176</v>
      </c>
    </row>
    <row r="1029" spans="1:8" x14ac:dyDescent="0.3">
      <c r="B1029" s="268" t="s">
        <v>341</v>
      </c>
      <c r="C1029" s="268" t="s">
        <v>342</v>
      </c>
      <c r="D1029" s="268" t="s">
        <v>152</v>
      </c>
      <c r="E1029" s="268" t="s">
        <v>217</v>
      </c>
      <c r="F1029" s="268" t="s">
        <v>221</v>
      </c>
      <c r="G1029">
        <v>2</v>
      </c>
      <c r="H1029">
        <v>137189</v>
      </c>
    </row>
    <row r="1030" spans="1:8" x14ac:dyDescent="0.3">
      <c r="B1030" s="268" t="s">
        <v>341</v>
      </c>
      <c r="C1030" s="268" t="s">
        <v>342</v>
      </c>
      <c r="D1030" s="268" t="s">
        <v>152</v>
      </c>
      <c r="E1030" s="268" t="s">
        <v>217</v>
      </c>
      <c r="F1030" s="268" t="s">
        <v>223</v>
      </c>
      <c r="G1030">
        <v>3</v>
      </c>
      <c r="H1030">
        <v>134242</v>
      </c>
    </row>
    <row r="1031" spans="1:8" x14ac:dyDescent="0.3">
      <c r="B1031" s="268" t="s">
        <v>341</v>
      </c>
      <c r="C1031" s="268" t="s">
        <v>342</v>
      </c>
      <c r="D1031" s="268" t="s">
        <v>152</v>
      </c>
      <c r="E1031" s="268" t="s">
        <v>217</v>
      </c>
      <c r="F1031" s="268" t="s">
        <v>225</v>
      </c>
      <c r="G1031">
        <v>4</v>
      </c>
      <c r="H1031">
        <v>131332</v>
      </c>
    </row>
    <row r="1032" spans="1:8" x14ac:dyDescent="0.3">
      <c r="B1032" s="268" t="s">
        <v>341</v>
      </c>
      <c r="C1032" s="268" t="s">
        <v>342</v>
      </c>
      <c r="D1032" s="268" t="s">
        <v>152</v>
      </c>
      <c r="E1032" s="268" t="s">
        <v>217</v>
      </c>
      <c r="F1032" s="268" t="s">
        <v>226</v>
      </c>
      <c r="G1032">
        <v>5</v>
      </c>
      <c r="H1032">
        <v>128496</v>
      </c>
    </row>
    <row r="1033" spans="1:8" x14ac:dyDescent="0.3">
      <c r="B1033" s="268" t="s">
        <v>341</v>
      </c>
      <c r="C1033" s="268" t="s">
        <v>342</v>
      </c>
      <c r="D1033" s="268" t="s">
        <v>152</v>
      </c>
      <c r="E1033" s="268" t="s">
        <v>217</v>
      </c>
      <c r="F1033" s="268" t="s">
        <v>227</v>
      </c>
      <c r="G1033">
        <v>6</v>
      </c>
      <c r="H1033">
        <v>125723</v>
      </c>
    </row>
    <row r="1034" spans="1:8" x14ac:dyDescent="0.3">
      <c r="B1034" s="268" t="s">
        <v>341</v>
      </c>
      <c r="C1034" s="268" t="s">
        <v>342</v>
      </c>
      <c r="D1034" s="268" t="s">
        <v>152</v>
      </c>
      <c r="E1034" s="268" t="s">
        <v>217</v>
      </c>
      <c r="F1034" s="268" t="s">
        <v>229</v>
      </c>
      <c r="G1034">
        <v>7</v>
      </c>
      <c r="H1034">
        <v>116796</v>
      </c>
    </row>
    <row r="1035" spans="1:8" x14ac:dyDescent="0.3">
      <c r="B1035" s="268" t="s">
        <v>341</v>
      </c>
      <c r="C1035" s="268" t="s">
        <v>342</v>
      </c>
      <c r="D1035" s="268" t="s">
        <v>152</v>
      </c>
      <c r="E1035" s="268" t="s">
        <v>217</v>
      </c>
      <c r="F1035" s="268" t="s">
        <v>230</v>
      </c>
      <c r="G1035">
        <v>8</v>
      </c>
      <c r="H1035">
        <v>115506</v>
      </c>
    </row>
    <row r="1036" spans="1:8" x14ac:dyDescent="0.3">
      <c r="B1036" s="268" t="s">
        <v>341</v>
      </c>
      <c r="C1036" s="268" t="s">
        <v>342</v>
      </c>
      <c r="D1036" s="268" t="s">
        <v>152</v>
      </c>
      <c r="E1036" s="268" t="s">
        <v>217</v>
      </c>
      <c r="F1036" s="268" t="s">
        <v>231</v>
      </c>
      <c r="G1036">
        <v>9</v>
      </c>
      <c r="H1036">
        <v>115461</v>
      </c>
    </row>
    <row r="1037" spans="1:8" x14ac:dyDescent="0.3">
      <c r="B1037" s="268" t="s">
        <v>341</v>
      </c>
      <c r="C1037" s="268" t="s">
        <v>342</v>
      </c>
      <c r="D1037" s="268" t="s">
        <v>152</v>
      </c>
      <c r="E1037" s="268" t="s">
        <v>217</v>
      </c>
      <c r="F1037" s="268" t="s">
        <v>233</v>
      </c>
      <c r="G1037">
        <v>10</v>
      </c>
      <c r="H1037">
        <v>116523</v>
      </c>
    </row>
    <row r="1038" spans="1:8" x14ac:dyDescent="0.3">
      <c r="B1038" s="268" t="s">
        <v>341</v>
      </c>
      <c r="C1038" s="268" t="s">
        <v>342</v>
      </c>
      <c r="D1038" s="268" t="s">
        <v>152</v>
      </c>
      <c r="E1038" s="268" t="s">
        <v>217</v>
      </c>
      <c r="F1038" s="268" t="s">
        <v>234</v>
      </c>
      <c r="G1038">
        <v>11</v>
      </c>
      <c r="H1038">
        <v>112904</v>
      </c>
    </row>
    <row r="1039" spans="1:8" x14ac:dyDescent="0.3">
      <c r="B1039" s="268" t="s">
        <v>341</v>
      </c>
      <c r="C1039" s="268" t="s">
        <v>342</v>
      </c>
      <c r="D1039" s="268" t="s">
        <v>152</v>
      </c>
      <c r="E1039" s="268" t="s">
        <v>217</v>
      </c>
      <c r="F1039" s="268" t="s">
        <v>235</v>
      </c>
      <c r="G1039">
        <v>12</v>
      </c>
      <c r="H1039">
        <v>113528</v>
      </c>
    </row>
    <row r="1040" spans="1:8" x14ac:dyDescent="0.3">
      <c r="B1040" s="268" t="s">
        <v>341</v>
      </c>
      <c r="C1040" s="268" t="s">
        <v>342</v>
      </c>
      <c r="D1040" s="268" t="s">
        <v>152</v>
      </c>
      <c r="E1040" s="268" t="s">
        <v>217</v>
      </c>
      <c r="F1040" s="268" t="s">
        <v>237</v>
      </c>
      <c r="G1040">
        <v>13</v>
      </c>
      <c r="H1040">
        <v>110173</v>
      </c>
    </row>
    <row r="1041" spans="2:8" x14ac:dyDescent="0.3">
      <c r="B1041" s="268" t="s">
        <v>341</v>
      </c>
      <c r="C1041" s="268" t="s">
        <v>342</v>
      </c>
      <c r="D1041" s="268" t="s">
        <v>152</v>
      </c>
      <c r="E1041" s="268" t="s">
        <v>217</v>
      </c>
      <c r="F1041" s="268" t="s">
        <v>239</v>
      </c>
      <c r="G1041">
        <v>14</v>
      </c>
      <c r="H1041">
        <v>104751</v>
      </c>
    </row>
    <row r="1042" spans="2:8" x14ac:dyDescent="0.3">
      <c r="B1042" s="268" t="s">
        <v>341</v>
      </c>
      <c r="C1042" s="268" t="s">
        <v>342</v>
      </c>
      <c r="D1042" s="268" t="s">
        <v>152</v>
      </c>
      <c r="E1042" s="268" t="s">
        <v>217</v>
      </c>
      <c r="F1042" s="268" t="s">
        <v>241</v>
      </c>
      <c r="G1042">
        <v>15</v>
      </c>
      <c r="H1042">
        <v>101421</v>
      </c>
    </row>
    <row r="1043" spans="2:8" x14ac:dyDescent="0.3">
      <c r="B1043" s="268" t="s">
        <v>341</v>
      </c>
      <c r="C1043" s="268" t="s">
        <v>342</v>
      </c>
      <c r="D1043" s="268" t="s">
        <v>152</v>
      </c>
      <c r="E1043" s="268" t="s">
        <v>217</v>
      </c>
      <c r="F1043" s="268" t="s">
        <v>243</v>
      </c>
      <c r="G1043">
        <v>16</v>
      </c>
      <c r="H1043">
        <v>98271</v>
      </c>
    </row>
    <row r="1044" spans="2:8" x14ac:dyDescent="0.3">
      <c r="B1044" s="268" t="s">
        <v>341</v>
      </c>
      <c r="C1044" s="268" t="s">
        <v>342</v>
      </c>
      <c r="D1044" s="268" t="s">
        <v>152</v>
      </c>
      <c r="E1044" s="268" t="s">
        <v>217</v>
      </c>
      <c r="F1044" s="268" t="s">
        <v>245</v>
      </c>
      <c r="G1044">
        <v>17</v>
      </c>
      <c r="H1044">
        <v>93939</v>
      </c>
    </row>
    <row r="1045" spans="2:8" x14ac:dyDescent="0.3">
      <c r="B1045" s="268" t="s">
        <v>341</v>
      </c>
      <c r="C1045" s="268" t="s">
        <v>342</v>
      </c>
      <c r="D1045" s="268" t="s">
        <v>152</v>
      </c>
      <c r="E1045" s="268" t="s">
        <v>217</v>
      </c>
      <c r="F1045" s="268" t="s">
        <v>247</v>
      </c>
      <c r="G1045">
        <v>18</v>
      </c>
      <c r="H1045">
        <v>91184</v>
      </c>
    </row>
    <row r="1046" spans="2:8" x14ac:dyDescent="0.3">
      <c r="B1046" s="268" t="s">
        <v>341</v>
      </c>
      <c r="C1046" s="268" t="s">
        <v>342</v>
      </c>
      <c r="D1046" s="268" t="s">
        <v>152</v>
      </c>
      <c r="E1046" s="268" t="s">
        <v>217</v>
      </c>
      <c r="F1046" s="268" t="s">
        <v>249</v>
      </c>
      <c r="G1046">
        <v>19</v>
      </c>
      <c r="H1046">
        <v>90427</v>
      </c>
    </row>
    <row r="1047" spans="2:8" x14ac:dyDescent="0.3">
      <c r="B1047" s="268" t="s">
        <v>341</v>
      </c>
      <c r="C1047" s="268" t="s">
        <v>342</v>
      </c>
      <c r="D1047" s="268" t="s">
        <v>152</v>
      </c>
      <c r="E1047" s="268" t="s">
        <v>217</v>
      </c>
      <c r="F1047" s="268" t="s">
        <v>250</v>
      </c>
      <c r="G1047">
        <v>20</v>
      </c>
      <c r="H1047">
        <v>89726</v>
      </c>
    </row>
    <row r="1048" spans="2:8" x14ac:dyDescent="0.3">
      <c r="B1048" s="268" t="s">
        <v>341</v>
      </c>
      <c r="C1048" s="268" t="s">
        <v>342</v>
      </c>
      <c r="D1048" s="268" t="s">
        <v>152</v>
      </c>
      <c r="E1048" s="268" t="s">
        <v>217</v>
      </c>
      <c r="F1048" s="268" t="s">
        <v>251</v>
      </c>
      <c r="G1048">
        <v>21</v>
      </c>
      <c r="H1048">
        <v>86750</v>
      </c>
    </row>
    <row r="1049" spans="2:8" x14ac:dyDescent="0.3">
      <c r="B1049" s="268" t="s">
        <v>341</v>
      </c>
      <c r="C1049" s="268" t="s">
        <v>342</v>
      </c>
      <c r="D1049" s="268" t="s">
        <v>152</v>
      </c>
      <c r="E1049" s="268" t="s">
        <v>217</v>
      </c>
      <c r="F1049" s="268" t="s">
        <v>252</v>
      </c>
      <c r="G1049">
        <v>22</v>
      </c>
      <c r="H1049">
        <v>84422</v>
      </c>
    </row>
    <row r="1050" spans="2:8" x14ac:dyDescent="0.3">
      <c r="B1050" s="268" t="s">
        <v>341</v>
      </c>
      <c r="C1050" s="268" t="s">
        <v>342</v>
      </c>
      <c r="D1050" s="268" t="s">
        <v>152</v>
      </c>
      <c r="E1050" s="268" t="s">
        <v>217</v>
      </c>
      <c r="F1050" s="268" t="s">
        <v>253</v>
      </c>
      <c r="G1050">
        <v>23</v>
      </c>
      <c r="H1050">
        <v>82571</v>
      </c>
    </row>
    <row r="1051" spans="2:8" x14ac:dyDescent="0.3">
      <c r="B1051" s="268" t="s">
        <v>341</v>
      </c>
      <c r="C1051" s="268" t="s">
        <v>342</v>
      </c>
      <c r="D1051" s="268" t="s">
        <v>152</v>
      </c>
      <c r="E1051" s="268" t="s">
        <v>217</v>
      </c>
      <c r="F1051" s="268" t="s">
        <v>254</v>
      </c>
      <c r="G1051">
        <v>24</v>
      </c>
      <c r="H1051">
        <v>80254</v>
      </c>
    </row>
    <row r="1052" spans="2:8" x14ac:dyDescent="0.3">
      <c r="B1052" s="268" t="s">
        <v>341</v>
      </c>
      <c r="C1052" s="268" t="s">
        <v>342</v>
      </c>
      <c r="D1052" s="268" t="s">
        <v>152</v>
      </c>
      <c r="E1052" s="268" t="s">
        <v>217</v>
      </c>
      <c r="F1052" s="268" t="s">
        <v>255</v>
      </c>
      <c r="G1052">
        <v>25</v>
      </c>
      <c r="H1052">
        <v>78794</v>
      </c>
    </row>
    <row r="1053" spans="2:8" x14ac:dyDescent="0.3">
      <c r="B1053" s="268" t="s">
        <v>341</v>
      </c>
      <c r="C1053" s="268" t="s">
        <v>342</v>
      </c>
      <c r="D1053" s="268" t="s">
        <v>152</v>
      </c>
      <c r="E1053" s="268" t="s">
        <v>217</v>
      </c>
      <c r="F1053" s="268" t="s">
        <v>256</v>
      </c>
      <c r="G1053">
        <v>26</v>
      </c>
      <c r="H1053">
        <v>77816</v>
      </c>
    </row>
    <row r="1054" spans="2:8" x14ac:dyDescent="0.3">
      <c r="B1054" s="268" t="s">
        <v>341</v>
      </c>
      <c r="C1054" s="268" t="s">
        <v>342</v>
      </c>
      <c r="D1054" s="268" t="s">
        <v>152</v>
      </c>
      <c r="E1054" s="268" t="s">
        <v>217</v>
      </c>
      <c r="F1054" s="268" t="s">
        <v>257</v>
      </c>
      <c r="G1054">
        <v>27</v>
      </c>
      <c r="H1054">
        <v>74920</v>
      </c>
    </row>
    <row r="1055" spans="2:8" x14ac:dyDescent="0.3">
      <c r="B1055" s="268" t="s">
        <v>341</v>
      </c>
      <c r="C1055" s="268" t="s">
        <v>342</v>
      </c>
      <c r="D1055" s="268" t="s">
        <v>152</v>
      </c>
      <c r="E1055" s="268" t="s">
        <v>217</v>
      </c>
      <c r="F1055" s="268" t="s">
        <v>258</v>
      </c>
      <c r="G1055">
        <v>28</v>
      </c>
      <c r="H1055">
        <v>74541</v>
      </c>
    </row>
    <row r="1056" spans="2:8" x14ac:dyDescent="0.3">
      <c r="B1056" s="268" t="s">
        <v>341</v>
      </c>
      <c r="C1056" s="268" t="s">
        <v>342</v>
      </c>
      <c r="D1056" s="268" t="s">
        <v>152</v>
      </c>
      <c r="E1056" s="268" t="s">
        <v>217</v>
      </c>
      <c r="F1056" s="268" t="s">
        <v>259</v>
      </c>
      <c r="G1056">
        <v>29</v>
      </c>
      <c r="H1056">
        <v>72660</v>
      </c>
    </row>
    <row r="1057" spans="2:8" x14ac:dyDescent="0.3">
      <c r="B1057" s="268" t="s">
        <v>341</v>
      </c>
      <c r="C1057" s="268" t="s">
        <v>342</v>
      </c>
      <c r="D1057" s="268" t="s">
        <v>152</v>
      </c>
      <c r="E1057" s="268" t="s">
        <v>217</v>
      </c>
      <c r="F1057" s="268" t="s">
        <v>260</v>
      </c>
      <c r="G1057">
        <v>30</v>
      </c>
      <c r="H1057">
        <v>68682</v>
      </c>
    </row>
    <row r="1058" spans="2:8" x14ac:dyDescent="0.3">
      <c r="B1058" s="268" t="s">
        <v>341</v>
      </c>
      <c r="C1058" s="268" t="s">
        <v>342</v>
      </c>
      <c r="D1058" s="268" t="s">
        <v>152</v>
      </c>
      <c r="E1058" s="268" t="s">
        <v>217</v>
      </c>
      <c r="F1058" s="268" t="s">
        <v>261</v>
      </c>
      <c r="G1058">
        <v>31</v>
      </c>
      <c r="H1058">
        <v>63740</v>
      </c>
    </row>
    <row r="1059" spans="2:8" x14ac:dyDescent="0.3">
      <c r="B1059" s="268" t="s">
        <v>341</v>
      </c>
      <c r="C1059" s="268" t="s">
        <v>342</v>
      </c>
      <c r="D1059" s="268" t="s">
        <v>152</v>
      </c>
      <c r="E1059" s="268" t="s">
        <v>217</v>
      </c>
      <c r="F1059" s="268" t="s">
        <v>262</v>
      </c>
      <c r="G1059">
        <v>32</v>
      </c>
      <c r="H1059">
        <v>60492</v>
      </c>
    </row>
    <row r="1060" spans="2:8" x14ac:dyDescent="0.3">
      <c r="B1060" s="268" t="s">
        <v>341</v>
      </c>
      <c r="C1060" s="268" t="s">
        <v>342</v>
      </c>
      <c r="D1060" s="268" t="s">
        <v>152</v>
      </c>
      <c r="E1060" s="268" t="s">
        <v>217</v>
      </c>
      <c r="F1060" s="268" t="s">
        <v>263</v>
      </c>
      <c r="G1060">
        <v>33</v>
      </c>
      <c r="H1060">
        <v>58444</v>
      </c>
    </row>
    <row r="1061" spans="2:8" x14ac:dyDescent="0.3">
      <c r="B1061" s="268" t="s">
        <v>341</v>
      </c>
      <c r="C1061" s="268" t="s">
        <v>342</v>
      </c>
      <c r="D1061" s="268" t="s">
        <v>152</v>
      </c>
      <c r="E1061" s="268" t="s">
        <v>217</v>
      </c>
      <c r="F1061" s="268" t="s">
        <v>264</v>
      </c>
      <c r="G1061">
        <v>34</v>
      </c>
      <c r="H1061">
        <v>55839</v>
      </c>
    </row>
    <row r="1062" spans="2:8" x14ac:dyDescent="0.3">
      <c r="B1062" s="268" t="s">
        <v>341</v>
      </c>
      <c r="C1062" s="268" t="s">
        <v>342</v>
      </c>
      <c r="D1062" s="268" t="s">
        <v>152</v>
      </c>
      <c r="E1062" s="268" t="s">
        <v>217</v>
      </c>
      <c r="F1062" s="268" t="s">
        <v>265</v>
      </c>
      <c r="G1062">
        <v>35</v>
      </c>
      <c r="H1062">
        <v>55030</v>
      </c>
    </row>
    <row r="1063" spans="2:8" x14ac:dyDescent="0.3">
      <c r="B1063" s="268" t="s">
        <v>341</v>
      </c>
      <c r="C1063" s="268" t="s">
        <v>342</v>
      </c>
      <c r="D1063" s="268" t="s">
        <v>152</v>
      </c>
      <c r="E1063" s="268" t="s">
        <v>217</v>
      </c>
      <c r="F1063" s="268" t="s">
        <v>266</v>
      </c>
      <c r="G1063">
        <v>36</v>
      </c>
      <c r="H1063">
        <v>52931</v>
      </c>
    </row>
    <row r="1064" spans="2:8" x14ac:dyDescent="0.3">
      <c r="B1064" s="268" t="s">
        <v>341</v>
      </c>
      <c r="C1064" s="268" t="s">
        <v>342</v>
      </c>
      <c r="D1064" s="268" t="s">
        <v>152</v>
      </c>
      <c r="E1064" s="268" t="s">
        <v>217</v>
      </c>
      <c r="F1064" s="268" t="s">
        <v>267</v>
      </c>
      <c r="G1064">
        <v>37</v>
      </c>
      <c r="H1064">
        <v>52936</v>
      </c>
    </row>
    <row r="1065" spans="2:8" x14ac:dyDescent="0.3">
      <c r="B1065" s="268" t="s">
        <v>341</v>
      </c>
      <c r="C1065" s="268" t="s">
        <v>342</v>
      </c>
      <c r="D1065" s="268" t="s">
        <v>152</v>
      </c>
      <c r="E1065" s="268" t="s">
        <v>217</v>
      </c>
      <c r="F1065" s="268" t="s">
        <v>268</v>
      </c>
      <c r="G1065">
        <v>38</v>
      </c>
      <c r="H1065">
        <v>51735</v>
      </c>
    </row>
    <row r="1066" spans="2:8" x14ac:dyDescent="0.3">
      <c r="B1066" s="268" t="s">
        <v>341</v>
      </c>
      <c r="C1066" s="268" t="s">
        <v>342</v>
      </c>
      <c r="D1066" s="268" t="s">
        <v>152</v>
      </c>
      <c r="E1066" s="268" t="s">
        <v>217</v>
      </c>
      <c r="F1066" s="268" t="s">
        <v>269</v>
      </c>
      <c r="G1066">
        <v>39</v>
      </c>
      <c r="H1066">
        <v>50612</v>
      </c>
    </row>
    <row r="1067" spans="2:8" x14ac:dyDescent="0.3">
      <c r="B1067" s="268" t="s">
        <v>341</v>
      </c>
      <c r="C1067" s="268" t="s">
        <v>342</v>
      </c>
      <c r="D1067" s="268" t="s">
        <v>152</v>
      </c>
      <c r="E1067" s="268" t="s">
        <v>217</v>
      </c>
      <c r="F1067" s="268" t="s">
        <v>270</v>
      </c>
      <c r="G1067">
        <v>40</v>
      </c>
      <c r="H1067">
        <v>50401</v>
      </c>
    </row>
    <row r="1068" spans="2:8" x14ac:dyDescent="0.3">
      <c r="B1068" s="268" t="s">
        <v>341</v>
      </c>
      <c r="C1068" s="268" t="s">
        <v>342</v>
      </c>
      <c r="D1068" s="268" t="s">
        <v>152</v>
      </c>
      <c r="E1068" s="268" t="s">
        <v>217</v>
      </c>
      <c r="F1068" s="268" t="s">
        <v>271</v>
      </c>
      <c r="G1068">
        <v>41</v>
      </c>
      <c r="H1068">
        <v>46706</v>
      </c>
    </row>
    <row r="1069" spans="2:8" x14ac:dyDescent="0.3">
      <c r="B1069" s="268" t="s">
        <v>341</v>
      </c>
      <c r="C1069" s="268" t="s">
        <v>342</v>
      </c>
      <c r="D1069" s="268" t="s">
        <v>152</v>
      </c>
      <c r="E1069" s="268" t="s">
        <v>217</v>
      </c>
      <c r="F1069" s="268" t="s">
        <v>272</v>
      </c>
      <c r="G1069">
        <v>42</v>
      </c>
      <c r="H1069">
        <v>45019</v>
      </c>
    </row>
    <row r="1070" spans="2:8" x14ac:dyDescent="0.3">
      <c r="B1070" s="268" t="s">
        <v>341</v>
      </c>
      <c r="C1070" s="268" t="s">
        <v>342</v>
      </c>
      <c r="D1070" s="268" t="s">
        <v>152</v>
      </c>
      <c r="E1070" s="268" t="s">
        <v>217</v>
      </c>
      <c r="F1070" s="268" t="s">
        <v>273</v>
      </c>
      <c r="G1070">
        <v>43</v>
      </c>
      <c r="H1070">
        <v>43592</v>
      </c>
    </row>
    <row r="1071" spans="2:8" x14ac:dyDescent="0.3">
      <c r="B1071" s="268" t="s">
        <v>341</v>
      </c>
      <c r="C1071" s="268" t="s">
        <v>342</v>
      </c>
      <c r="D1071" s="268" t="s">
        <v>152</v>
      </c>
      <c r="E1071" s="268" t="s">
        <v>217</v>
      </c>
      <c r="F1071" s="268" t="s">
        <v>274</v>
      </c>
      <c r="G1071">
        <v>44</v>
      </c>
      <c r="H1071">
        <v>40815</v>
      </c>
    </row>
    <row r="1072" spans="2:8" x14ac:dyDescent="0.3">
      <c r="B1072" s="268" t="s">
        <v>341</v>
      </c>
      <c r="C1072" s="268" t="s">
        <v>342</v>
      </c>
      <c r="D1072" s="268" t="s">
        <v>152</v>
      </c>
      <c r="E1072" s="268" t="s">
        <v>217</v>
      </c>
      <c r="F1072" s="268" t="s">
        <v>275</v>
      </c>
      <c r="G1072">
        <v>45</v>
      </c>
      <c r="H1072">
        <v>39554</v>
      </c>
    </row>
    <row r="1073" spans="2:8" x14ac:dyDescent="0.3">
      <c r="B1073" s="268" t="s">
        <v>341</v>
      </c>
      <c r="C1073" s="268" t="s">
        <v>342</v>
      </c>
      <c r="D1073" s="268" t="s">
        <v>152</v>
      </c>
      <c r="E1073" s="268" t="s">
        <v>217</v>
      </c>
      <c r="F1073" s="268" t="s">
        <v>276</v>
      </c>
      <c r="G1073">
        <v>46</v>
      </c>
      <c r="H1073">
        <v>37723</v>
      </c>
    </row>
    <row r="1074" spans="2:8" x14ac:dyDescent="0.3">
      <c r="B1074" s="268" t="s">
        <v>341</v>
      </c>
      <c r="C1074" s="268" t="s">
        <v>342</v>
      </c>
      <c r="D1074" s="268" t="s">
        <v>152</v>
      </c>
      <c r="E1074" s="268" t="s">
        <v>217</v>
      </c>
      <c r="F1074" s="268" t="s">
        <v>277</v>
      </c>
      <c r="G1074">
        <v>47</v>
      </c>
      <c r="H1074">
        <v>37168</v>
      </c>
    </row>
    <row r="1075" spans="2:8" x14ac:dyDescent="0.3">
      <c r="B1075" s="268" t="s">
        <v>341</v>
      </c>
      <c r="C1075" s="268" t="s">
        <v>342</v>
      </c>
      <c r="D1075" s="268" t="s">
        <v>152</v>
      </c>
      <c r="E1075" s="268" t="s">
        <v>217</v>
      </c>
      <c r="F1075" s="268" t="s">
        <v>278</v>
      </c>
      <c r="G1075">
        <v>48</v>
      </c>
      <c r="H1075">
        <v>37216</v>
      </c>
    </row>
    <row r="1076" spans="2:8" x14ac:dyDescent="0.3">
      <c r="B1076" s="268" t="s">
        <v>341</v>
      </c>
      <c r="C1076" s="268" t="s">
        <v>342</v>
      </c>
      <c r="D1076" s="268" t="s">
        <v>152</v>
      </c>
      <c r="E1076" s="268" t="s">
        <v>217</v>
      </c>
      <c r="F1076" s="268" t="s">
        <v>279</v>
      </c>
      <c r="G1076">
        <v>49</v>
      </c>
      <c r="H1076">
        <v>38047</v>
      </c>
    </row>
    <row r="1077" spans="2:8" x14ac:dyDescent="0.3">
      <c r="B1077" s="268" t="s">
        <v>341</v>
      </c>
      <c r="C1077" s="268" t="s">
        <v>342</v>
      </c>
      <c r="D1077" s="268" t="s">
        <v>152</v>
      </c>
      <c r="E1077" s="268" t="s">
        <v>217</v>
      </c>
      <c r="F1077" s="268" t="s">
        <v>280</v>
      </c>
      <c r="G1077">
        <v>50</v>
      </c>
      <c r="H1077">
        <v>36972</v>
      </c>
    </row>
    <row r="1078" spans="2:8" x14ac:dyDescent="0.3">
      <c r="B1078" s="268" t="s">
        <v>341</v>
      </c>
      <c r="C1078" s="268" t="s">
        <v>342</v>
      </c>
      <c r="D1078" s="268" t="s">
        <v>152</v>
      </c>
      <c r="E1078" s="268" t="s">
        <v>217</v>
      </c>
      <c r="F1078" s="268" t="s">
        <v>281</v>
      </c>
      <c r="G1078">
        <v>51</v>
      </c>
      <c r="H1078">
        <v>33984</v>
      </c>
    </row>
    <row r="1079" spans="2:8" x14ac:dyDescent="0.3">
      <c r="B1079" s="268" t="s">
        <v>341</v>
      </c>
      <c r="C1079" s="268" t="s">
        <v>342</v>
      </c>
      <c r="D1079" s="268" t="s">
        <v>152</v>
      </c>
      <c r="E1079" s="268" t="s">
        <v>217</v>
      </c>
      <c r="F1079" s="268" t="s">
        <v>282</v>
      </c>
      <c r="G1079">
        <v>52</v>
      </c>
      <c r="H1079">
        <v>32276</v>
      </c>
    </row>
    <row r="1080" spans="2:8" x14ac:dyDescent="0.3">
      <c r="B1080" s="268" t="s">
        <v>341</v>
      </c>
      <c r="C1080" s="268" t="s">
        <v>342</v>
      </c>
      <c r="D1080" s="268" t="s">
        <v>152</v>
      </c>
      <c r="E1080" s="268" t="s">
        <v>217</v>
      </c>
      <c r="F1080" s="268" t="s">
        <v>283</v>
      </c>
      <c r="G1080">
        <v>53</v>
      </c>
      <c r="H1080">
        <v>31343</v>
      </c>
    </row>
    <row r="1081" spans="2:8" x14ac:dyDescent="0.3">
      <c r="B1081" s="268" t="s">
        <v>341</v>
      </c>
      <c r="C1081" s="268" t="s">
        <v>342</v>
      </c>
      <c r="D1081" s="268" t="s">
        <v>152</v>
      </c>
      <c r="E1081" s="268" t="s">
        <v>217</v>
      </c>
      <c r="F1081" s="268" t="s">
        <v>284</v>
      </c>
      <c r="G1081">
        <v>54</v>
      </c>
      <c r="H1081">
        <v>31051</v>
      </c>
    </row>
    <row r="1082" spans="2:8" x14ac:dyDescent="0.3">
      <c r="B1082" s="268" t="s">
        <v>341</v>
      </c>
      <c r="C1082" s="268" t="s">
        <v>342</v>
      </c>
      <c r="D1082" s="268" t="s">
        <v>152</v>
      </c>
      <c r="E1082" s="268" t="s">
        <v>217</v>
      </c>
      <c r="F1082" s="268" t="s">
        <v>285</v>
      </c>
      <c r="G1082">
        <v>55</v>
      </c>
      <c r="H1082">
        <v>32001</v>
      </c>
    </row>
    <row r="1083" spans="2:8" x14ac:dyDescent="0.3">
      <c r="B1083" s="268" t="s">
        <v>341</v>
      </c>
      <c r="C1083" s="268" t="s">
        <v>342</v>
      </c>
      <c r="D1083" s="268" t="s">
        <v>152</v>
      </c>
      <c r="E1083" s="268" t="s">
        <v>217</v>
      </c>
      <c r="F1083" s="268" t="s">
        <v>286</v>
      </c>
      <c r="G1083">
        <v>56</v>
      </c>
      <c r="H1083">
        <v>31810</v>
      </c>
    </row>
    <row r="1084" spans="2:8" x14ac:dyDescent="0.3">
      <c r="B1084" s="268" t="s">
        <v>341</v>
      </c>
      <c r="C1084" s="268" t="s">
        <v>342</v>
      </c>
      <c r="D1084" s="268" t="s">
        <v>152</v>
      </c>
      <c r="E1084" s="268" t="s">
        <v>217</v>
      </c>
      <c r="F1084" s="268" t="s">
        <v>287</v>
      </c>
      <c r="G1084">
        <v>57</v>
      </c>
      <c r="H1084">
        <v>31322</v>
      </c>
    </row>
    <row r="1085" spans="2:8" x14ac:dyDescent="0.3">
      <c r="B1085" s="268" t="s">
        <v>341</v>
      </c>
      <c r="C1085" s="268" t="s">
        <v>342</v>
      </c>
      <c r="D1085" s="268" t="s">
        <v>152</v>
      </c>
      <c r="E1085" s="268" t="s">
        <v>217</v>
      </c>
      <c r="F1085" s="268" t="s">
        <v>288</v>
      </c>
      <c r="G1085">
        <v>58</v>
      </c>
      <c r="H1085">
        <v>30723</v>
      </c>
    </row>
    <row r="1086" spans="2:8" x14ac:dyDescent="0.3">
      <c r="B1086" s="268" t="s">
        <v>341</v>
      </c>
      <c r="C1086" s="268" t="s">
        <v>342</v>
      </c>
      <c r="D1086" s="268" t="s">
        <v>152</v>
      </c>
      <c r="E1086" s="268" t="s">
        <v>217</v>
      </c>
      <c r="F1086" s="268" t="s">
        <v>289</v>
      </c>
      <c r="G1086">
        <v>59</v>
      </c>
      <c r="H1086">
        <v>30049</v>
      </c>
    </row>
    <row r="1087" spans="2:8" x14ac:dyDescent="0.3">
      <c r="B1087" s="268" t="s">
        <v>341</v>
      </c>
      <c r="C1087" s="268" t="s">
        <v>342</v>
      </c>
      <c r="D1087" s="268" t="s">
        <v>152</v>
      </c>
      <c r="E1087" s="268" t="s">
        <v>217</v>
      </c>
      <c r="F1087" s="268" t="s">
        <v>290</v>
      </c>
      <c r="G1087">
        <v>60</v>
      </c>
      <c r="H1087">
        <v>30090</v>
      </c>
    </row>
    <row r="1088" spans="2:8" x14ac:dyDescent="0.3">
      <c r="B1088" s="268" t="s">
        <v>341</v>
      </c>
      <c r="C1088" s="268" t="s">
        <v>342</v>
      </c>
      <c r="D1088" s="268" t="s">
        <v>152</v>
      </c>
      <c r="E1088" s="268" t="s">
        <v>217</v>
      </c>
      <c r="F1088" s="268" t="s">
        <v>291</v>
      </c>
      <c r="G1088">
        <v>61</v>
      </c>
      <c r="H1088">
        <v>28139</v>
      </c>
    </row>
    <row r="1089" spans="2:8" x14ac:dyDescent="0.3">
      <c r="B1089" s="268" t="s">
        <v>341</v>
      </c>
      <c r="C1089" s="268" t="s">
        <v>342</v>
      </c>
      <c r="D1089" s="268" t="s">
        <v>152</v>
      </c>
      <c r="E1089" s="268" t="s">
        <v>217</v>
      </c>
      <c r="F1089" s="268" t="s">
        <v>292</v>
      </c>
      <c r="G1089">
        <v>62</v>
      </c>
      <c r="H1089">
        <v>27248</v>
      </c>
    </row>
    <row r="1090" spans="2:8" x14ac:dyDescent="0.3">
      <c r="B1090" s="268" t="s">
        <v>341</v>
      </c>
      <c r="C1090" s="268" t="s">
        <v>342</v>
      </c>
      <c r="D1090" s="268" t="s">
        <v>152</v>
      </c>
      <c r="E1090" s="268" t="s">
        <v>217</v>
      </c>
      <c r="F1090" s="268" t="s">
        <v>293</v>
      </c>
      <c r="G1090">
        <v>63</v>
      </c>
      <c r="H1090">
        <v>26362</v>
      </c>
    </row>
    <row r="1091" spans="2:8" x14ac:dyDescent="0.3">
      <c r="B1091" s="268" t="s">
        <v>341</v>
      </c>
      <c r="C1091" s="268" t="s">
        <v>342</v>
      </c>
      <c r="D1091" s="268" t="s">
        <v>152</v>
      </c>
      <c r="E1091" s="268" t="s">
        <v>217</v>
      </c>
      <c r="F1091" s="268" t="s">
        <v>294</v>
      </c>
      <c r="G1091">
        <v>64</v>
      </c>
      <c r="H1091">
        <v>25279</v>
      </c>
    </row>
    <row r="1092" spans="2:8" x14ac:dyDescent="0.3">
      <c r="B1092" s="268" t="s">
        <v>341</v>
      </c>
      <c r="C1092" s="268" t="s">
        <v>342</v>
      </c>
      <c r="D1092" s="268" t="s">
        <v>152</v>
      </c>
      <c r="E1092" s="268" t="s">
        <v>217</v>
      </c>
      <c r="F1092" s="268" t="s">
        <v>295</v>
      </c>
      <c r="G1092">
        <v>65</v>
      </c>
      <c r="H1092">
        <v>24006</v>
      </c>
    </row>
    <row r="1093" spans="2:8" x14ac:dyDescent="0.3">
      <c r="B1093" s="268" t="s">
        <v>341</v>
      </c>
      <c r="C1093" s="268" t="s">
        <v>342</v>
      </c>
      <c r="D1093" s="268" t="s">
        <v>152</v>
      </c>
      <c r="E1093" s="268" t="s">
        <v>217</v>
      </c>
      <c r="F1093" s="268" t="s">
        <v>296</v>
      </c>
      <c r="G1093">
        <v>66</v>
      </c>
      <c r="H1093">
        <v>22345</v>
      </c>
    </row>
    <row r="1094" spans="2:8" x14ac:dyDescent="0.3">
      <c r="B1094" s="268" t="s">
        <v>341</v>
      </c>
      <c r="C1094" s="268" t="s">
        <v>342</v>
      </c>
      <c r="D1094" s="268" t="s">
        <v>152</v>
      </c>
      <c r="E1094" s="268" t="s">
        <v>217</v>
      </c>
      <c r="F1094" s="268" t="s">
        <v>297</v>
      </c>
      <c r="G1094">
        <v>67</v>
      </c>
      <c r="H1094">
        <v>21086</v>
      </c>
    </row>
    <row r="1095" spans="2:8" x14ac:dyDescent="0.3">
      <c r="B1095" s="268" t="s">
        <v>341</v>
      </c>
      <c r="C1095" s="268" t="s">
        <v>342</v>
      </c>
      <c r="D1095" s="268" t="s">
        <v>152</v>
      </c>
      <c r="E1095" s="268" t="s">
        <v>217</v>
      </c>
      <c r="F1095" s="268" t="s">
        <v>298</v>
      </c>
      <c r="G1095">
        <v>68</v>
      </c>
      <c r="H1095">
        <v>19230</v>
      </c>
    </row>
    <row r="1096" spans="2:8" x14ac:dyDescent="0.3">
      <c r="B1096" s="268" t="s">
        <v>341</v>
      </c>
      <c r="C1096" s="268" t="s">
        <v>342</v>
      </c>
      <c r="D1096" s="268" t="s">
        <v>152</v>
      </c>
      <c r="E1096" s="268" t="s">
        <v>217</v>
      </c>
      <c r="F1096" s="268" t="s">
        <v>299</v>
      </c>
      <c r="G1096">
        <v>69</v>
      </c>
      <c r="H1096">
        <v>18280</v>
      </c>
    </row>
    <row r="1097" spans="2:8" x14ac:dyDescent="0.3">
      <c r="B1097" s="268" t="s">
        <v>341</v>
      </c>
      <c r="C1097" s="268" t="s">
        <v>342</v>
      </c>
      <c r="D1097" s="268" t="s">
        <v>152</v>
      </c>
      <c r="E1097" s="268" t="s">
        <v>217</v>
      </c>
      <c r="F1097" s="268" t="s">
        <v>300</v>
      </c>
      <c r="G1097">
        <v>70</v>
      </c>
      <c r="H1097">
        <v>17520</v>
      </c>
    </row>
    <row r="1098" spans="2:8" x14ac:dyDescent="0.3">
      <c r="B1098" s="268" t="s">
        <v>341</v>
      </c>
      <c r="C1098" s="268" t="s">
        <v>342</v>
      </c>
      <c r="D1098" s="268" t="s">
        <v>152</v>
      </c>
      <c r="E1098" s="268" t="s">
        <v>217</v>
      </c>
      <c r="F1098" s="268" t="s">
        <v>301</v>
      </c>
      <c r="G1098">
        <v>71</v>
      </c>
      <c r="H1098">
        <v>16347</v>
      </c>
    </row>
    <row r="1099" spans="2:8" x14ac:dyDescent="0.3">
      <c r="B1099" s="268" t="s">
        <v>341</v>
      </c>
      <c r="C1099" s="268" t="s">
        <v>342</v>
      </c>
      <c r="D1099" s="268" t="s">
        <v>152</v>
      </c>
      <c r="E1099" s="268" t="s">
        <v>217</v>
      </c>
      <c r="F1099" s="268" t="s">
        <v>302</v>
      </c>
      <c r="G1099">
        <v>72</v>
      </c>
      <c r="H1099">
        <v>15714</v>
      </c>
    </row>
    <row r="1100" spans="2:8" x14ac:dyDescent="0.3">
      <c r="B1100" s="268" t="s">
        <v>341</v>
      </c>
      <c r="C1100" s="268" t="s">
        <v>342</v>
      </c>
      <c r="D1100" s="268" t="s">
        <v>152</v>
      </c>
      <c r="E1100" s="268" t="s">
        <v>217</v>
      </c>
      <c r="F1100" s="268" t="s">
        <v>303</v>
      </c>
      <c r="G1100">
        <v>73</v>
      </c>
      <c r="H1100">
        <v>15582</v>
      </c>
    </row>
    <row r="1101" spans="2:8" x14ac:dyDescent="0.3">
      <c r="B1101" s="268" t="s">
        <v>341</v>
      </c>
      <c r="C1101" s="268" t="s">
        <v>342</v>
      </c>
      <c r="D1101" s="268" t="s">
        <v>152</v>
      </c>
      <c r="E1101" s="268" t="s">
        <v>217</v>
      </c>
      <c r="F1101" s="268" t="s">
        <v>304</v>
      </c>
      <c r="G1101">
        <v>74</v>
      </c>
      <c r="H1101">
        <v>11997</v>
      </c>
    </row>
    <row r="1102" spans="2:8" x14ac:dyDescent="0.3">
      <c r="B1102" s="268" t="s">
        <v>341</v>
      </c>
      <c r="C1102" s="268" t="s">
        <v>342</v>
      </c>
      <c r="D1102" s="268" t="s">
        <v>152</v>
      </c>
      <c r="E1102" s="268" t="s">
        <v>217</v>
      </c>
      <c r="F1102" s="268" t="s">
        <v>305</v>
      </c>
      <c r="G1102">
        <v>75</v>
      </c>
      <c r="H1102">
        <v>11387</v>
      </c>
    </row>
    <row r="1103" spans="2:8" x14ac:dyDescent="0.3">
      <c r="B1103" s="268" t="s">
        <v>341</v>
      </c>
      <c r="C1103" s="268" t="s">
        <v>342</v>
      </c>
      <c r="D1103" s="268" t="s">
        <v>152</v>
      </c>
      <c r="E1103" s="268" t="s">
        <v>217</v>
      </c>
      <c r="F1103" s="268" t="s">
        <v>306</v>
      </c>
      <c r="G1103">
        <v>76</v>
      </c>
      <c r="H1103">
        <v>10699</v>
      </c>
    </row>
    <row r="1104" spans="2:8" x14ac:dyDescent="0.3">
      <c r="B1104" s="268" t="s">
        <v>341</v>
      </c>
      <c r="C1104" s="268" t="s">
        <v>342</v>
      </c>
      <c r="D1104" s="268" t="s">
        <v>152</v>
      </c>
      <c r="E1104" s="268" t="s">
        <v>217</v>
      </c>
      <c r="F1104" s="268" t="s">
        <v>307</v>
      </c>
      <c r="G1104">
        <v>77</v>
      </c>
      <c r="H1104">
        <v>10269</v>
      </c>
    </row>
    <row r="1105" spans="2:8" x14ac:dyDescent="0.3">
      <c r="B1105" s="268" t="s">
        <v>341</v>
      </c>
      <c r="C1105" s="268" t="s">
        <v>342</v>
      </c>
      <c r="D1105" s="268" t="s">
        <v>152</v>
      </c>
      <c r="E1105" s="268" t="s">
        <v>217</v>
      </c>
      <c r="F1105" s="268" t="s">
        <v>308</v>
      </c>
      <c r="G1105">
        <v>78</v>
      </c>
      <c r="H1105">
        <v>8817</v>
      </c>
    </row>
    <row r="1106" spans="2:8" x14ac:dyDescent="0.3">
      <c r="B1106" s="268" t="s">
        <v>341</v>
      </c>
      <c r="C1106" s="268" t="s">
        <v>342</v>
      </c>
      <c r="D1106" s="268" t="s">
        <v>152</v>
      </c>
      <c r="E1106" s="268" t="s">
        <v>217</v>
      </c>
      <c r="F1106" s="268" t="s">
        <v>309</v>
      </c>
      <c r="G1106">
        <v>79</v>
      </c>
      <c r="H1106">
        <v>8117</v>
      </c>
    </row>
    <row r="1107" spans="2:8" x14ac:dyDescent="0.3">
      <c r="B1107" s="268" t="s">
        <v>341</v>
      </c>
      <c r="C1107" s="268" t="s">
        <v>342</v>
      </c>
      <c r="D1107" s="268" t="s">
        <v>152</v>
      </c>
      <c r="E1107" s="268" t="s">
        <v>217</v>
      </c>
      <c r="F1107" s="268" t="s">
        <v>310</v>
      </c>
      <c r="G1107">
        <v>80</v>
      </c>
      <c r="H1107">
        <v>7495</v>
      </c>
    </row>
    <row r="1108" spans="2:8" x14ac:dyDescent="0.3">
      <c r="B1108" s="268" t="s">
        <v>341</v>
      </c>
      <c r="C1108" s="268" t="s">
        <v>342</v>
      </c>
      <c r="D1108" s="268" t="s">
        <v>152</v>
      </c>
      <c r="E1108" s="268" t="s">
        <v>217</v>
      </c>
      <c r="F1108" s="268" t="s">
        <v>311</v>
      </c>
      <c r="G1108">
        <v>81</v>
      </c>
      <c r="H1108">
        <v>6602</v>
      </c>
    </row>
    <row r="1109" spans="2:8" x14ac:dyDescent="0.3">
      <c r="B1109" s="268" t="s">
        <v>341</v>
      </c>
      <c r="C1109" s="268" t="s">
        <v>342</v>
      </c>
      <c r="D1109" s="268" t="s">
        <v>152</v>
      </c>
      <c r="E1109" s="268" t="s">
        <v>217</v>
      </c>
      <c r="F1109" s="268" t="s">
        <v>312</v>
      </c>
      <c r="G1109">
        <v>82</v>
      </c>
      <c r="H1109">
        <v>5991</v>
      </c>
    </row>
    <row r="1110" spans="2:8" x14ac:dyDescent="0.3">
      <c r="B1110" s="268" t="s">
        <v>341</v>
      </c>
      <c r="C1110" s="268" t="s">
        <v>342</v>
      </c>
      <c r="D1110" s="268" t="s">
        <v>152</v>
      </c>
      <c r="E1110" s="268" t="s">
        <v>217</v>
      </c>
      <c r="F1110" s="268" t="s">
        <v>313</v>
      </c>
      <c r="G1110">
        <v>83</v>
      </c>
      <c r="H1110">
        <v>5458</v>
      </c>
    </row>
    <row r="1111" spans="2:8" x14ac:dyDescent="0.3">
      <c r="B1111" s="268" t="s">
        <v>341</v>
      </c>
      <c r="C1111" s="268" t="s">
        <v>342</v>
      </c>
      <c r="D1111" s="268" t="s">
        <v>152</v>
      </c>
      <c r="E1111" s="268" t="s">
        <v>217</v>
      </c>
      <c r="F1111" s="268" t="s">
        <v>314</v>
      </c>
      <c r="G1111">
        <v>84</v>
      </c>
      <c r="H1111">
        <v>4928</v>
      </c>
    </row>
    <row r="1112" spans="2:8" x14ac:dyDescent="0.3">
      <c r="B1112" s="268" t="s">
        <v>341</v>
      </c>
      <c r="C1112" s="268" t="s">
        <v>342</v>
      </c>
      <c r="D1112" s="268" t="s">
        <v>152</v>
      </c>
      <c r="E1112" s="268" t="s">
        <v>217</v>
      </c>
      <c r="F1112" s="268" t="s">
        <v>315</v>
      </c>
      <c r="G1112">
        <v>85</v>
      </c>
      <c r="H1112">
        <v>4553</v>
      </c>
    </row>
    <row r="1113" spans="2:8" x14ac:dyDescent="0.3">
      <c r="B1113" s="268" t="s">
        <v>341</v>
      </c>
      <c r="C1113" s="268" t="s">
        <v>342</v>
      </c>
      <c r="D1113" s="268" t="s">
        <v>152</v>
      </c>
      <c r="E1113" s="268" t="s">
        <v>217</v>
      </c>
      <c r="F1113" s="268" t="s">
        <v>316</v>
      </c>
      <c r="G1113">
        <v>86</v>
      </c>
      <c r="H1113">
        <v>3957</v>
      </c>
    </row>
    <row r="1114" spans="2:8" x14ac:dyDescent="0.3">
      <c r="B1114" s="268" t="s">
        <v>341</v>
      </c>
      <c r="C1114" s="268" t="s">
        <v>342</v>
      </c>
      <c r="D1114" s="268" t="s">
        <v>152</v>
      </c>
      <c r="E1114" s="268" t="s">
        <v>217</v>
      </c>
      <c r="F1114" s="268" t="s">
        <v>317</v>
      </c>
      <c r="G1114">
        <v>87</v>
      </c>
      <c r="H1114">
        <v>3474</v>
      </c>
    </row>
    <row r="1115" spans="2:8" x14ac:dyDescent="0.3">
      <c r="B1115" s="268" t="s">
        <v>341</v>
      </c>
      <c r="C1115" s="268" t="s">
        <v>342</v>
      </c>
      <c r="D1115" s="268" t="s">
        <v>152</v>
      </c>
      <c r="E1115" s="268" t="s">
        <v>217</v>
      </c>
      <c r="F1115" s="268" t="s">
        <v>318</v>
      </c>
      <c r="G1115">
        <v>88</v>
      </c>
      <c r="H1115">
        <v>3143</v>
      </c>
    </row>
    <row r="1116" spans="2:8" x14ac:dyDescent="0.3">
      <c r="B1116" s="268" t="s">
        <v>341</v>
      </c>
      <c r="C1116" s="268" t="s">
        <v>342</v>
      </c>
      <c r="D1116" s="268" t="s">
        <v>152</v>
      </c>
      <c r="E1116" s="268" t="s">
        <v>217</v>
      </c>
      <c r="F1116" s="268" t="s">
        <v>319</v>
      </c>
      <c r="G1116">
        <v>89</v>
      </c>
      <c r="H1116">
        <v>2705</v>
      </c>
    </row>
    <row r="1117" spans="2:8" x14ac:dyDescent="0.3">
      <c r="B1117" s="268" t="s">
        <v>341</v>
      </c>
      <c r="C1117" s="268" t="s">
        <v>342</v>
      </c>
      <c r="D1117" s="268" t="s">
        <v>152</v>
      </c>
      <c r="E1117" s="268" t="s">
        <v>217</v>
      </c>
      <c r="F1117" s="268" t="s">
        <v>320</v>
      </c>
      <c r="G1117">
        <v>90</v>
      </c>
      <c r="H1117">
        <v>2405</v>
      </c>
    </row>
    <row r="1118" spans="2:8" x14ac:dyDescent="0.3">
      <c r="B1118" s="268" t="s">
        <v>341</v>
      </c>
      <c r="C1118" s="268" t="s">
        <v>342</v>
      </c>
      <c r="D1118" s="268" t="s">
        <v>152</v>
      </c>
      <c r="E1118" s="268" t="s">
        <v>217</v>
      </c>
      <c r="F1118" s="268" t="s">
        <v>321</v>
      </c>
      <c r="G1118">
        <v>91</v>
      </c>
      <c r="H1118">
        <v>2000</v>
      </c>
    </row>
    <row r="1119" spans="2:8" x14ac:dyDescent="0.3">
      <c r="B1119" s="268" t="s">
        <v>341</v>
      </c>
      <c r="C1119" s="268" t="s">
        <v>342</v>
      </c>
      <c r="D1119" s="268" t="s">
        <v>152</v>
      </c>
      <c r="E1119" s="268" t="s">
        <v>217</v>
      </c>
      <c r="F1119" s="268" t="s">
        <v>322</v>
      </c>
      <c r="G1119">
        <v>92</v>
      </c>
      <c r="H1119">
        <v>1726</v>
      </c>
    </row>
    <row r="1120" spans="2:8" x14ac:dyDescent="0.3">
      <c r="B1120" s="268" t="s">
        <v>341</v>
      </c>
      <c r="C1120" s="268" t="s">
        <v>342</v>
      </c>
      <c r="D1120" s="268" t="s">
        <v>152</v>
      </c>
      <c r="E1120" s="268" t="s">
        <v>217</v>
      </c>
      <c r="F1120" s="268" t="s">
        <v>323</v>
      </c>
      <c r="G1120">
        <v>93</v>
      </c>
      <c r="H1120">
        <v>1420</v>
      </c>
    </row>
    <row r="1121" spans="1:8" x14ac:dyDescent="0.3">
      <c r="B1121" s="268" t="s">
        <v>341</v>
      </c>
      <c r="C1121" s="268" t="s">
        <v>342</v>
      </c>
      <c r="D1121" s="268" t="s">
        <v>152</v>
      </c>
      <c r="E1121" s="268" t="s">
        <v>217</v>
      </c>
      <c r="F1121" s="268" t="s">
        <v>324</v>
      </c>
      <c r="G1121">
        <v>94</v>
      </c>
      <c r="H1121">
        <v>1149</v>
      </c>
    </row>
    <row r="1122" spans="1:8" x14ac:dyDescent="0.3">
      <c r="B1122" s="268" t="s">
        <v>341</v>
      </c>
      <c r="C1122" s="268" t="s">
        <v>342</v>
      </c>
      <c r="D1122" s="268" t="s">
        <v>152</v>
      </c>
      <c r="E1122" s="268" t="s">
        <v>217</v>
      </c>
      <c r="F1122" s="268" t="s">
        <v>325</v>
      </c>
      <c r="G1122">
        <v>95</v>
      </c>
      <c r="H1122">
        <v>955</v>
      </c>
    </row>
    <row r="1123" spans="1:8" x14ac:dyDescent="0.3">
      <c r="B1123" s="268" t="s">
        <v>341</v>
      </c>
      <c r="C1123" s="268" t="s">
        <v>342</v>
      </c>
      <c r="D1123" s="268" t="s">
        <v>152</v>
      </c>
      <c r="E1123" s="268" t="s">
        <v>217</v>
      </c>
      <c r="F1123" s="268" t="s">
        <v>326</v>
      </c>
      <c r="G1123">
        <v>96</v>
      </c>
      <c r="H1123">
        <v>680</v>
      </c>
    </row>
    <row r="1124" spans="1:8" x14ac:dyDescent="0.3">
      <c r="B1124" s="268" t="s">
        <v>341</v>
      </c>
      <c r="C1124" s="268" t="s">
        <v>342</v>
      </c>
      <c r="D1124" s="268" t="s">
        <v>152</v>
      </c>
      <c r="E1124" s="268" t="s">
        <v>217</v>
      </c>
      <c r="F1124" s="268" t="s">
        <v>327</v>
      </c>
      <c r="G1124">
        <v>97</v>
      </c>
      <c r="H1124">
        <v>525</v>
      </c>
    </row>
    <row r="1125" spans="1:8" x14ac:dyDescent="0.3">
      <c r="B1125" s="268" t="s">
        <v>341</v>
      </c>
      <c r="C1125" s="268" t="s">
        <v>342</v>
      </c>
      <c r="D1125" s="268" t="s">
        <v>152</v>
      </c>
      <c r="E1125" s="268" t="s">
        <v>217</v>
      </c>
      <c r="F1125" s="268" t="s">
        <v>328</v>
      </c>
      <c r="G1125">
        <v>98</v>
      </c>
      <c r="H1125">
        <v>383</v>
      </c>
    </row>
    <row r="1126" spans="1:8" x14ac:dyDescent="0.3">
      <c r="B1126" s="268" t="s">
        <v>341</v>
      </c>
      <c r="C1126" s="268" t="s">
        <v>342</v>
      </c>
      <c r="D1126" s="268" t="s">
        <v>152</v>
      </c>
      <c r="E1126" s="268" t="s">
        <v>217</v>
      </c>
      <c r="F1126" s="268" t="s">
        <v>329</v>
      </c>
      <c r="G1126">
        <v>99</v>
      </c>
      <c r="H1126">
        <v>285</v>
      </c>
    </row>
    <row r="1127" spans="1:8" x14ac:dyDescent="0.3">
      <c r="B1127" s="268" t="s">
        <v>341</v>
      </c>
      <c r="C1127" s="268" t="s">
        <v>342</v>
      </c>
      <c r="D1127" s="268" t="s">
        <v>152</v>
      </c>
      <c r="E1127" s="268" t="s">
        <v>217</v>
      </c>
      <c r="F1127" s="268" t="s">
        <v>330</v>
      </c>
      <c r="G1127" t="s">
        <v>331</v>
      </c>
      <c r="H1127">
        <v>425</v>
      </c>
    </row>
    <row r="1128" spans="1:8" x14ac:dyDescent="0.3">
      <c r="A1128" s="268" t="s">
        <v>70</v>
      </c>
      <c r="B1128" s="268" t="s">
        <v>341</v>
      </c>
      <c r="C1128" s="268" t="s">
        <v>342</v>
      </c>
      <c r="D1128" s="268" t="s">
        <v>152</v>
      </c>
      <c r="E1128" s="268" t="s">
        <v>217</v>
      </c>
      <c r="H1128">
        <v>4860711</v>
      </c>
    </row>
    <row r="1129" spans="1:8" x14ac:dyDescent="0.3">
      <c r="B1129" s="268" t="s">
        <v>341</v>
      </c>
      <c r="C1129" s="268" t="s">
        <v>342</v>
      </c>
      <c r="D1129" s="268" t="s">
        <v>151</v>
      </c>
      <c r="E1129" s="268" t="s">
        <v>332</v>
      </c>
      <c r="F1129" s="268" t="s">
        <v>218</v>
      </c>
      <c r="G1129">
        <v>0</v>
      </c>
      <c r="H1129">
        <v>150376</v>
      </c>
    </row>
    <row r="1130" spans="1:8" x14ac:dyDescent="0.3">
      <c r="B1130" s="268" t="s">
        <v>341</v>
      </c>
      <c r="C1130" s="268" t="s">
        <v>342</v>
      </c>
      <c r="D1130" s="268" t="s">
        <v>151</v>
      </c>
      <c r="E1130" s="268" t="s">
        <v>332</v>
      </c>
      <c r="F1130" s="268" t="s">
        <v>220</v>
      </c>
      <c r="G1130">
        <v>1</v>
      </c>
      <c r="H1130">
        <v>147167</v>
      </c>
    </row>
    <row r="1131" spans="1:8" x14ac:dyDescent="0.3">
      <c r="B1131" s="268" t="s">
        <v>341</v>
      </c>
      <c r="C1131" s="268" t="s">
        <v>342</v>
      </c>
      <c r="D1131" s="268" t="s">
        <v>151</v>
      </c>
      <c r="E1131" s="268" t="s">
        <v>332</v>
      </c>
      <c r="F1131" s="268" t="s">
        <v>221</v>
      </c>
      <c r="G1131">
        <v>2</v>
      </c>
      <c r="H1131">
        <v>144036</v>
      </c>
    </row>
    <row r="1132" spans="1:8" x14ac:dyDescent="0.3">
      <c r="B1132" s="268" t="s">
        <v>341</v>
      </c>
      <c r="C1132" s="268" t="s">
        <v>342</v>
      </c>
      <c r="D1132" s="268" t="s">
        <v>151</v>
      </c>
      <c r="E1132" s="268" t="s">
        <v>332</v>
      </c>
      <c r="F1132" s="268" t="s">
        <v>223</v>
      </c>
      <c r="G1132">
        <v>3</v>
      </c>
      <c r="H1132">
        <v>140937</v>
      </c>
    </row>
    <row r="1133" spans="1:8" x14ac:dyDescent="0.3">
      <c r="B1133" s="268" t="s">
        <v>341</v>
      </c>
      <c r="C1133" s="268" t="s">
        <v>342</v>
      </c>
      <c r="D1133" s="268" t="s">
        <v>151</v>
      </c>
      <c r="E1133" s="268" t="s">
        <v>332</v>
      </c>
      <c r="F1133" s="268" t="s">
        <v>225</v>
      </c>
      <c r="G1133">
        <v>4</v>
      </c>
      <c r="H1133">
        <v>137867</v>
      </c>
    </row>
    <row r="1134" spans="1:8" x14ac:dyDescent="0.3">
      <c r="B1134" s="268" t="s">
        <v>341</v>
      </c>
      <c r="C1134" s="268" t="s">
        <v>342</v>
      </c>
      <c r="D1134" s="268" t="s">
        <v>151</v>
      </c>
      <c r="E1134" s="268" t="s">
        <v>332</v>
      </c>
      <c r="F1134" s="268" t="s">
        <v>226</v>
      </c>
      <c r="G1134">
        <v>5</v>
      </c>
      <c r="H1134">
        <v>134850</v>
      </c>
    </row>
    <row r="1135" spans="1:8" x14ac:dyDescent="0.3">
      <c r="B1135" s="268" t="s">
        <v>341</v>
      </c>
      <c r="C1135" s="268" t="s">
        <v>342</v>
      </c>
      <c r="D1135" s="268" t="s">
        <v>151</v>
      </c>
      <c r="E1135" s="268" t="s">
        <v>332</v>
      </c>
      <c r="F1135" s="268" t="s">
        <v>227</v>
      </c>
      <c r="G1135">
        <v>6</v>
      </c>
      <c r="H1135">
        <v>131934</v>
      </c>
    </row>
    <row r="1136" spans="1:8" x14ac:dyDescent="0.3">
      <c r="B1136" s="268" t="s">
        <v>341</v>
      </c>
      <c r="C1136" s="268" t="s">
        <v>342</v>
      </c>
      <c r="D1136" s="268" t="s">
        <v>151</v>
      </c>
      <c r="E1136" s="268" t="s">
        <v>332</v>
      </c>
      <c r="F1136" s="268" t="s">
        <v>229</v>
      </c>
      <c r="G1136">
        <v>7</v>
      </c>
      <c r="H1136">
        <v>122344</v>
      </c>
    </row>
    <row r="1137" spans="2:8" x14ac:dyDescent="0.3">
      <c r="B1137" s="268" t="s">
        <v>341</v>
      </c>
      <c r="C1137" s="268" t="s">
        <v>342</v>
      </c>
      <c r="D1137" s="268" t="s">
        <v>151</v>
      </c>
      <c r="E1137" s="268" t="s">
        <v>332</v>
      </c>
      <c r="F1137" s="268" t="s">
        <v>230</v>
      </c>
      <c r="G1137">
        <v>8</v>
      </c>
      <c r="H1137">
        <v>121001</v>
      </c>
    </row>
    <row r="1138" spans="2:8" x14ac:dyDescent="0.3">
      <c r="B1138" s="268" t="s">
        <v>341</v>
      </c>
      <c r="C1138" s="268" t="s">
        <v>342</v>
      </c>
      <c r="D1138" s="268" t="s">
        <v>151</v>
      </c>
      <c r="E1138" s="268" t="s">
        <v>332</v>
      </c>
      <c r="F1138" s="268" t="s">
        <v>231</v>
      </c>
      <c r="G1138">
        <v>9</v>
      </c>
      <c r="H1138">
        <v>121157</v>
      </c>
    </row>
    <row r="1139" spans="2:8" x14ac:dyDescent="0.3">
      <c r="B1139" s="268" t="s">
        <v>341</v>
      </c>
      <c r="C1139" s="268" t="s">
        <v>342</v>
      </c>
      <c r="D1139" s="268" t="s">
        <v>151</v>
      </c>
      <c r="E1139" s="268" t="s">
        <v>332</v>
      </c>
      <c r="F1139" s="268" t="s">
        <v>233</v>
      </c>
      <c r="G1139">
        <v>10</v>
      </c>
      <c r="H1139">
        <v>120025</v>
      </c>
    </row>
    <row r="1140" spans="2:8" x14ac:dyDescent="0.3">
      <c r="B1140" s="268" t="s">
        <v>341</v>
      </c>
      <c r="C1140" s="268" t="s">
        <v>342</v>
      </c>
      <c r="D1140" s="268" t="s">
        <v>151</v>
      </c>
      <c r="E1140" s="268" t="s">
        <v>332</v>
      </c>
      <c r="F1140" s="268" t="s">
        <v>234</v>
      </c>
      <c r="G1140">
        <v>11</v>
      </c>
      <c r="H1140">
        <v>116780</v>
      </c>
    </row>
    <row r="1141" spans="2:8" x14ac:dyDescent="0.3">
      <c r="B1141" s="268" t="s">
        <v>341</v>
      </c>
      <c r="C1141" s="268" t="s">
        <v>342</v>
      </c>
      <c r="D1141" s="268" t="s">
        <v>151</v>
      </c>
      <c r="E1141" s="268" t="s">
        <v>332</v>
      </c>
      <c r="F1141" s="268" t="s">
        <v>235</v>
      </c>
      <c r="G1141">
        <v>12</v>
      </c>
      <c r="H1141">
        <v>116920</v>
      </c>
    </row>
    <row r="1142" spans="2:8" x14ac:dyDescent="0.3">
      <c r="B1142" s="268" t="s">
        <v>341</v>
      </c>
      <c r="C1142" s="268" t="s">
        <v>342</v>
      </c>
      <c r="D1142" s="268" t="s">
        <v>151</v>
      </c>
      <c r="E1142" s="268" t="s">
        <v>332</v>
      </c>
      <c r="F1142" s="268" t="s">
        <v>237</v>
      </c>
      <c r="G1142">
        <v>13</v>
      </c>
      <c r="H1142">
        <v>113386</v>
      </c>
    </row>
    <row r="1143" spans="2:8" x14ac:dyDescent="0.3">
      <c r="B1143" s="268" t="s">
        <v>341</v>
      </c>
      <c r="C1143" s="268" t="s">
        <v>342</v>
      </c>
      <c r="D1143" s="268" t="s">
        <v>151</v>
      </c>
      <c r="E1143" s="268" t="s">
        <v>332</v>
      </c>
      <c r="F1143" s="268" t="s">
        <v>239</v>
      </c>
      <c r="G1143">
        <v>14</v>
      </c>
      <c r="H1143">
        <v>108773</v>
      </c>
    </row>
    <row r="1144" spans="2:8" x14ac:dyDescent="0.3">
      <c r="B1144" s="268" t="s">
        <v>341</v>
      </c>
      <c r="C1144" s="268" t="s">
        <v>342</v>
      </c>
      <c r="D1144" s="268" t="s">
        <v>151</v>
      </c>
      <c r="E1144" s="268" t="s">
        <v>332</v>
      </c>
      <c r="F1144" s="268" t="s">
        <v>241</v>
      </c>
      <c r="G1144">
        <v>15</v>
      </c>
      <c r="H1144">
        <v>104288</v>
      </c>
    </row>
    <row r="1145" spans="2:8" x14ac:dyDescent="0.3">
      <c r="B1145" s="268" t="s">
        <v>341</v>
      </c>
      <c r="C1145" s="268" t="s">
        <v>342</v>
      </c>
      <c r="D1145" s="268" t="s">
        <v>151</v>
      </c>
      <c r="E1145" s="268" t="s">
        <v>332</v>
      </c>
      <c r="F1145" s="268" t="s">
        <v>243</v>
      </c>
      <c r="G1145">
        <v>16</v>
      </c>
      <c r="H1145">
        <v>100757</v>
      </c>
    </row>
    <row r="1146" spans="2:8" x14ac:dyDescent="0.3">
      <c r="B1146" s="268" t="s">
        <v>341</v>
      </c>
      <c r="C1146" s="268" t="s">
        <v>342</v>
      </c>
      <c r="D1146" s="268" t="s">
        <v>151</v>
      </c>
      <c r="E1146" s="268" t="s">
        <v>332</v>
      </c>
      <c r="F1146" s="268" t="s">
        <v>245</v>
      </c>
      <c r="G1146">
        <v>17</v>
      </c>
      <c r="H1146">
        <v>96291</v>
      </c>
    </row>
    <row r="1147" spans="2:8" x14ac:dyDescent="0.3">
      <c r="B1147" s="268" t="s">
        <v>341</v>
      </c>
      <c r="C1147" s="268" t="s">
        <v>342</v>
      </c>
      <c r="D1147" s="268" t="s">
        <v>151</v>
      </c>
      <c r="E1147" s="268" t="s">
        <v>332</v>
      </c>
      <c r="F1147" s="268" t="s">
        <v>247</v>
      </c>
      <c r="G1147">
        <v>18</v>
      </c>
      <c r="H1147">
        <v>92621</v>
      </c>
    </row>
    <row r="1148" spans="2:8" x14ac:dyDescent="0.3">
      <c r="B1148" s="268" t="s">
        <v>341</v>
      </c>
      <c r="C1148" s="268" t="s">
        <v>342</v>
      </c>
      <c r="D1148" s="268" t="s">
        <v>151</v>
      </c>
      <c r="E1148" s="268" t="s">
        <v>332</v>
      </c>
      <c r="F1148" s="268" t="s">
        <v>249</v>
      </c>
      <c r="G1148">
        <v>19</v>
      </c>
      <c r="H1148">
        <v>93400</v>
      </c>
    </row>
    <row r="1149" spans="2:8" x14ac:dyDescent="0.3">
      <c r="B1149" s="268" t="s">
        <v>341</v>
      </c>
      <c r="C1149" s="268" t="s">
        <v>342</v>
      </c>
      <c r="D1149" s="268" t="s">
        <v>151</v>
      </c>
      <c r="E1149" s="268" t="s">
        <v>332</v>
      </c>
      <c r="F1149" s="268" t="s">
        <v>250</v>
      </c>
      <c r="G1149">
        <v>20</v>
      </c>
      <c r="H1149">
        <v>92100</v>
      </c>
    </row>
    <row r="1150" spans="2:8" x14ac:dyDescent="0.3">
      <c r="B1150" s="268" t="s">
        <v>341</v>
      </c>
      <c r="C1150" s="268" t="s">
        <v>342</v>
      </c>
      <c r="D1150" s="268" t="s">
        <v>151</v>
      </c>
      <c r="E1150" s="268" t="s">
        <v>332</v>
      </c>
      <c r="F1150" s="268" t="s">
        <v>251</v>
      </c>
      <c r="G1150">
        <v>21</v>
      </c>
      <c r="H1150">
        <v>89762</v>
      </c>
    </row>
    <row r="1151" spans="2:8" x14ac:dyDescent="0.3">
      <c r="B1151" s="268" t="s">
        <v>341</v>
      </c>
      <c r="C1151" s="268" t="s">
        <v>342</v>
      </c>
      <c r="D1151" s="268" t="s">
        <v>151</v>
      </c>
      <c r="E1151" s="268" t="s">
        <v>332</v>
      </c>
      <c r="F1151" s="268" t="s">
        <v>252</v>
      </c>
      <c r="G1151">
        <v>22</v>
      </c>
      <c r="H1151">
        <v>86919</v>
      </c>
    </row>
    <row r="1152" spans="2:8" x14ac:dyDescent="0.3">
      <c r="B1152" s="268" t="s">
        <v>341</v>
      </c>
      <c r="C1152" s="268" t="s">
        <v>342</v>
      </c>
      <c r="D1152" s="268" t="s">
        <v>151</v>
      </c>
      <c r="E1152" s="268" t="s">
        <v>332</v>
      </c>
      <c r="F1152" s="268" t="s">
        <v>253</v>
      </c>
      <c r="G1152">
        <v>23</v>
      </c>
      <c r="H1152">
        <v>84084</v>
      </c>
    </row>
    <row r="1153" spans="2:8" x14ac:dyDescent="0.3">
      <c r="B1153" s="268" t="s">
        <v>341</v>
      </c>
      <c r="C1153" s="268" t="s">
        <v>342</v>
      </c>
      <c r="D1153" s="268" t="s">
        <v>151</v>
      </c>
      <c r="E1153" s="268" t="s">
        <v>332</v>
      </c>
      <c r="F1153" s="268" t="s">
        <v>254</v>
      </c>
      <c r="G1153">
        <v>24</v>
      </c>
      <c r="H1153">
        <v>82510</v>
      </c>
    </row>
    <row r="1154" spans="2:8" x14ac:dyDescent="0.3">
      <c r="B1154" s="268" t="s">
        <v>341</v>
      </c>
      <c r="C1154" s="268" t="s">
        <v>342</v>
      </c>
      <c r="D1154" s="268" t="s">
        <v>151</v>
      </c>
      <c r="E1154" s="268" t="s">
        <v>332</v>
      </c>
      <c r="F1154" s="268" t="s">
        <v>255</v>
      </c>
      <c r="G1154">
        <v>25</v>
      </c>
      <c r="H1154">
        <v>80678</v>
      </c>
    </row>
    <row r="1155" spans="2:8" x14ac:dyDescent="0.3">
      <c r="B1155" s="268" t="s">
        <v>341</v>
      </c>
      <c r="C1155" s="268" t="s">
        <v>342</v>
      </c>
      <c r="D1155" s="268" t="s">
        <v>151</v>
      </c>
      <c r="E1155" s="268" t="s">
        <v>332</v>
      </c>
      <c r="F1155" s="268" t="s">
        <v>256</v>
      </c>
      <c r="G1155">
        <v>26</v>
      </c>
      <c r="H1155">
        <v>78493</v>
      </c>
    </row>
    <row r="1156" spans="2:8" x14ac:dyDescent="0.3">
      <c r="B1156" s="268" t="s">
        <v>341</v>
      </c>
      <c r="C1156" s="268" t="s">
        <v>342</v>
      </c>
      <c r="D1156" s="268" t="s">
        <v>151</v>
      </c>
      <c r="E1156" s="268" t="s">
        <v>332</v>
      </c>
      <c r="F1156" s="268" t="s">
        <v>257</v>
      </c>
      <c r="G1156">
        <v>27</v>
      </c>
      <c r="H1156">
        <v>75727</v>
      </c>
    </row>
    <row r="1157" spans="2:8" x14ac:dyDescent="0.3">
      <c r="B1157" s="268" t="s">
        <v>341</v>
      </c>
      <c r="C1157" s="268" t="s">
        <v>342</v>
      </c>
      <c r="D1157" s="268" t="s">
        <v>151</v>
      </c>
      <c r="E1157" s="268" t="s">
        <v>332</v>
      </c>
      <c r="F1157" s="268" t="s">
        <v>258</v>
      </c>
      <c r="G1157">
        <v>28</v>
      </c>
      <c r="H1157">
        <v>73999</v>
      </c>
    </row>
    <row r="1158" spans="2:8" x14ac:dyDescent="0.3">
      <c r="B1158" s="268" t="s">
        <v>341</v>
      </c>
      <c r="C1158" s="268" t="s">
        <v>342</v>
      </c>
      <c r="D1158" s="268" t="s">
        <v>151</v>
      </c>
      <c r="E1158" s="268" t="s">
        <v>332</v>
      </c>
      <c r="F1158" s="268" t="s">
        <v>259</v>
      </c>
      <c r="G1158">
        <v>29</v>
      </c>
      <c r="H1158">
        <v>70299</v>
      </c>
    </row>
    <row r="1159" spans="2:8" x14ac:dyDescent="0.3">
      <c r="B1159" s="268" t="s">
        <v>341</v>
      </c>
      <c r="C1159" s="268" t="s">
        <v>342</v>
      </c>
      <c r="D1159" s="268" t="s">
        <v>151</v>
      </c>
      <c r="E1159" s="268" t="s">
        <v>332</v>
      </c>
      <c r="F1159" s="268" t="s">
        <v>260</v>
      </c>
      <c r="G1159">
        <v>30</v>
      </c>
      <c r="H1159">
        <v>65769</v>
      </c>
    </row>
    <row r="1160" spans="2:8" x14ac:dyDescent="0.3">
      <c r="B1160" s="268" t="s">
        <v>341</v>
      </c>
      <c r="C1160" s="268" t="s">
        <v>342</v>
      </c>
      <c r="D1160" s="268" t="s">
        <v>151</v>
      </c>
      <c r="E1160" s="268" t="s">
        <v>332</v>
      </c>
      <c r="F1160" s="268" t="s">
        <v>261</v>
      </c>
      <c r="G1160">
        <v>31</v>
      </c>
      <c r="H1160">
        <v>60950</v>
      </c>
    </row>
    <row r="1161" spans="2:8" x14ac:dyDescent="0.3">
      <c r="B1161" s="268" t="s">
        <v>341</v>
      </c>
      <c r="C1161" s="268" t="s">
        <v>342</v>
      </c>
      <c r="D1161" s="268" t="s">
        <v>151</v>
      </c>
      <c r="E1161" s="268" t="s">
        <v>332</v>
      </c>
      <c r="F1161" s="268" t="s">
        <v>262</v>
      </c>
      <c r="G1161">
        <v>32</v>
      </c>
      <c r="H1161">
        <v>57233</v>
      </c>
    </row>
    <row r="1162" spans="2:8" x14ac:dyDescent="0.3">
      <c r="B1162" s="268" t="s">
        <v>341</v>
      </c>
      <c r="C1162" s="268" t="s">
        <v>342</v>
      </c>
      <c r="D1162" s="268" t="s">
        <v>151</v>
      </c>
      <c r="E1162" s="268" t="s">
        <v>332</v>
      </c>
      <c r="F1162" s="268" t="s">
        <v>263</v>
      </c>
      <c r="G1162">
        <v>33</v>
      </c>
      <c r="H1162">
        <v>53558</v>
      </c>
    </row>
    <row r="1163" spans="2:8" x14ac:dyDescent="0.3">
      <c r="B1163" s="268" t="s">
        <v>341</v>
      </c>
      <c r="C1163" s="268" t="s">
        <v>342</v>
      </c>
      <c r="D1163" s="268" t="s">
        <v>151</v>
      </c>
      <c r="E1163" s="268" t="s">
        <v>332</v>
      </c>
      <c r="F1163" s="268" t="s">
        <v>264</v>
      </c>
      <c r="G1163">
        <v>34</v>
      </c>
      <c r="H1163">
        <v>52424</v>
      </c>
    </row>
    <row r="1164" spans="2:8" x14ac:dyDescent="0.3">
      <c r="B1164" s="268" t="s">
        <v>341</v>
      </c>
      <c r="C1164" s="268" t="s">
        <v>342</v>
      </c>
      <c r="D1164" s="268" t="s">
        <v>151</v>
      </c>
      <c r="E1164" s="268" t="s">
        <v>332</v>
      </c>
      <c r="F1164" s="268" t="s">
        <v>265</v>
      </c>
      <c r="G1164">
        <v>35</v>
      </c>
      <c r="H1164">
        <v>50622</v>
      </c>
    </row>
    <row r="1165" spans="2:8" x14ac:dyDescent="0.3">
      <c r="B1165" s="268" t="s">
        <v>341</v>
      </c>
      <c r="C1165" s="268" t="s">
        <v>342</v>
      </c>
      <c r="D1165" s="268" t="s">
        <v>151</v>
      </c>
      <c r="E1165" s="268" t="s">
        <v>332</v>
      </c>
      <c r="F1165" s="268" t="s">
        <v>266</v>
      </c>
      <c r="G1165">
        <v>36</v>
      </c>
      <c r="H1165">
        <v>48438</v>
      </c>
    </row>
    <row r="1166" spans="2:8" x14ac:dyDescent="0.3">
      <c r="B1166" s="268" t="s">
        <v>341</v>
      </c>
      <c r="C1166" s="268" t="s">
        <v>342</v>
      </c>
      <c r="D1166" s="268" t="s">
        <v>151</v>
      </c>
      <c r="E1166" s="268" t="s">
        <v>332</v>
      </c>
      <c r="F1166" s="268" t="s">
        <v>267</v>
      </c>
      <c r="G1166">
        <v>37</v>
      </c>
      <c r="H1166">
        <v>48647</v>
      </c>
    </row>
    <row r="1167" spans="2:8" x14ac:dyDescent="0.3">
      <c r="B1167" s="268" t="s">
        <v>341</v>
      </c>
      <c r="C1167" s="268" t="s">
        <v>342</v>
      </c>
      <c r="D1167" s="268" t="s">
        <v>151</v>
      </c>
      <c r="E1167" s="268" t="s">
        <v>332</v>
      </c>
      <c r="F1167" s="268" t="s">
        <v>268</v>
      </c>
      <c r="G1167">
        <v>38</v>
      </c>
      <c r="H1167">
        <v>47335</v>
      </c>
    </row>
    <row r="1168" spans="2:8" x14ac:dyDescent="0.3">
      <c r="B1168" s="268" t="s">
        <v>341</v>
      </c>
      <c r="C1168" s="268" t="s">
        <v>342</v>
      </c>
      <c r="D1168" s="268" t="s">
        <v>151</v>
      </c>
      <c r="E1168" s="268" t="s">
        <v>332</v>
      </c>
      <c r="F1168" s="268" t="s">
        <v>269</v>
      </c>
      <c r="G1168">
        <v>39</v>
      </c>
      <c r="H1168">
        <v>46546</v>
      </c>
    </row>
    <row r="1169" spans="2:8" x14ac:dyDescent="0.3">
      <c r="B1169" s="268" t="s">
        <v>341</v>
      </c>
      <c r="C1169" s="268" t="s">
        <v>342</v>
      </c>
      <c r="D1169" s="268" t="s">
        <v>151</v>
      </c>
      <c r="E1169" s="268" t="s">
        <v>332</v>
      </c>
      <c r="F1169" s="268" t="s">
        <v>270</v>
      </c>
      <c r="G1169">
        <v>40</v>
      </c>
      <c r="H1169">
        <v>46115</v>
      </c>
    </row>
    <row r="1170" spans="2:8" x14ac:dyDescent="0.3">
      <c r="B1170" s="268" t="s">
        <v>341</v>
      </c>
      <c r="C1170" s="268" t="s">
        <v>342</v>
      </c>
      <c r="D1170" s="268" t="s">
        <v>151</v>
      </c>
      <c r="E1170" s="268" t="s">
        <v>332</v>
      </c>
      <c r="F1170" s="268" t="s">
        <v>271</v>
      </c>
      <c r="G1170">
        <v>41</v>
      </c>
      <c r="H1170">
        <v>42399</v>
      </c>
    </row>
    <row r="1171" spans="2:8" x14ac:dyDescent="0.3">
      <c r="B1171" s="268" t="s">
        <v>341</v>
      </c>
      <c r="C1171" s="268" t="s">
        <v>342</v>
      </c>
      <c r="D1171" s="268" t="s">
        <v>151</v>
      </c>
      <c r="E1171" s="268" t="s">
        <v>332</v>
      </c>
      <c r="F1171" s="268" t="s">
        <v>272</v>
      </c>
      <c r="G1171">
        <v>42</v>
      </c>
      <c r="H1171">
        <v>40807</v>
      </c>
    </row>
    <row r="1172" spans="2:8" x14ac:dyDescent="0.3">
      <c r="B1172" s="268" t="s">
        <v>341</v>
      </c>
      <c r="C1172" s="268" t="s">
        <v>342</v>
      </c>
      <c r="D1172" s="268" t="s">
        <v>151</v>
      </c>
      <c r="E1172" s="268" t="s">
        <v>332</v>
      </c>
      <c r="F1172" s="268" t="s">
        <v>273</v>
      </c>
      <c r="G1172">
        <v>43</v>
      </c>
      <c r="H1172">
        <v>39235</v>
      </c>
    </row>
    <row r="1173" spans="2:8" x14ac:dyDescent="0.3">
      <c r="B1173" s="268" t="s">
        <v>341</v>
      </c>
      <c r="C1173" s="268" t="s">
        <v>342</v>
      </c>
      <c r="D1173" s="268" t="s">
        <v>151</v>
      </c>
      <c r="E1173" s="268" t="s">
        <v>332</v>
      </c>
      <c r="F1173" s="268" t="s">
        <v>274</v>
      </c>
      <c r="G1173">
        <v>44</v>
      </c>
      <c r="H1173">
        <v>37670</v>
      </c>
    </row>
    <row r="1174" spans="2:8" x14ac:dyDescent="0.3">
      <c r="B1174" s="268" t="s">
        <v>341</v>
      </c>
      <c r="C1174" s="268" t="s">
        <v>342</v>
      </c>
      <c r="D1174" s="268" t="s">
        <v>151</v>
      </c>
      <c r="E1174" s="268" t="s">
        <v>332</v>
      </c>
      <c r="F1174" s="268" t="s">
        <v>275</v>
      </c>
      <c r="G1174">
        <v>45</v>
      </c>
      <c r="H1174">
        <v>35799</v>
      </c>
    </row>
    <row r="1175" spans="2:8" x14ac:dyDescent="0.3">
      <c r="B1175" s="268" t="s">
        <v>341</v>
      </c>
      <c r="C1175" s="268" t="s">
        <v>342</v>
      </c>
      <c r="D1175" s="268" t="s">
        <v>151</v>
      </c>
      <c r="E1175" s="268" t="s">
        <v>332</v>
      </c>
      <c r="F1175" s="268" t="s">
        <v>276</v>
      </c>
      <c r="G1175">
        <v>46</v>
      </c>
      <c r="H1175">
        <v>33987</v>
      </c>
    </row>
    <row r="1176" spans="2:8" x14ac:dyDescent="0.3">
      <c r="B1176" s="268" t="s">
        <v>341</v>
      </c>
      <c r="C1176" s="268" t="s">
        <v>342</v>
      </c>
      <c r="D1176" s="268" t="s">
        <v>151</v>
      </c>
      <c r="E1176" s="268" t="s">
        <v>332</v>
      </c>
      <c r="F1176" s="268" t="s">
        <v>277</v>
      </c>
      <c r="G1176">
        <v>47</v>
      </c>
      <c r="H1176">
        <v>33616</v>
      </c>
    </row>
    <row r="1177" spans="2:8" x14ac:dyDescent="0.3">
      <c r="B1177" s="268" t="s">
        <v>341</v>
      </c>
      <c r="C1177" s="268" t="s">
        <v>342</v>
      </c>
      <c r="D1177" s="268" t="s">
        <v>151</v>
      </c>
      <c r="E1177" s="268" t="s">
        <v>332</v>
      </c>
      <c r="F1177" s="268" t="s">
        <v>278</v>
      </c>
      <c r="G1177">
        <v>48</v>
      </c>
      <c r="H1177">
        <v>33374</v>
      </c>
    </row>
    <row r="1178" spans="2:8" x14ac:dyDescent="0.3">
      <c r="B1178" s="268" t="s">
        <v>341</v>
      </c>
      <c r="C1178" s="268" t="s">
        <v>342</v>
      </c>
      <c r="D1178" s="268" t="s">
        <v>151</v>
      </c>
      <c r="E1178" s="268" t="s">
        <v>332</v>
      </c>
      <c r="F1178" s="268" t="s">
        <v>279</v>
      </c>
      <c r="G1178">
        <v>49</v>
      </c>
      <c r="H1178">
        <v>34261</v>
      </c>
    </row>
    <row r="1179" spans="2:8" x14ac:dyDescent="0.3">
      <c r="B1179" s="268" t="s">
        <v>341</v>
      </c>
      <c r="C1179" s="268" t="s">
        <v>342</v>
      </c>
      <c r="D1179" s="268" t="s">
        <v>151</v>
      </c>
      <c r="E1179" s="268" t="s">
        <v>332</v>
      </c>
      <c r="F1179" s="268" t="s">
        <v>280</v>
      </c>
      <c r="G1179">
        <v>50</v>
      </c>
      <c r="H1179">
        <v>33485</v>
      </c>
    </row>
    <row r="1180" spans="2:8" x14ac:dyDescent="0.3">
      <c r="B1180" s="268" t="s">
        <v>341</v>
      </c>
      <c r="C1180" s="268" t="s">
        <v>342</v>
      </c>
      <c r="D1180" s="268" t="s">
        <v>151</v>
      </c>
      <c r="E1180" s="268" t="s">
        <v>332</v>
      </c>
      <c r="F1180" s="268" t="s">
        <v>281</v>
      </c>
      <c r="G1180">
        <v>51</v>
      </c>
      <c r="H1180">
        <v>30895</v>
      </c>
    </row>
    <row r="1181" spans="2:8" x14ac:dyDescent="0.3">
      <c r="B1181" s="268" t="s">
        <v>341</v>
      </c>
      <c r="C1181" s="268" t="s">
        <v>342</v>
      </c>
      <c r="D1181" s="268" t="s">
        <v>151</v>
      </c>
      <c r="E1181" s="268" t="s">
        <v>332</v>
      </c>
      <c r="F1181" s="268" t="s">
        <v>282</v>
      </c>
      <c r="G1181">
        <v>52</v>
      </c>
      <c r="H1181">
        <v>28862</v>
      </c>
    </row>
    <row r="1182" spans="2:8" x14ac:dyDescent="0.3">
      <c r="B1182" s="268" t="s">
        <v>341</v>
      </c>
      <c r="C1182" s="268" t="s">
        <v>342</v>
      </c>
      <c r="D1182" s="268" t="s">
        <v>151</v>
      </c>
      <c r="E1182" s="268" t="s">
        <v>332</v>
      </c>
      <c r="F1182" s="268" t="s">
        <v>283</v>
      </c>
      <c r="G1182">
        <v>53</v>
      </c>
      <c r="H1182">
        <v>27907</v>
      </c>
    </row>
    <row r="1183" spans="2:8" x14ac:dyDescent="0.3">
      <c r="B1183" s="268" t="s">
        <v>341</v>
      </c>
      <c r="C1183" s="268" t="s">
        <v>342</v>
      </c>
      <c r="D1183" s="268" t="s">
        <v>151</v>
      </c>
      <c r="E1183" s="268" t="s">
        <v>332</v>
      </c>
      <c r="F1183" s="268" t="s">
        <v>284</v>
      </c>
      <c r="G1183">
        <v>54</v>
      </c>
      <c r="H1183">
        <v>27661</v>
      </c>
    </row>
    <row r="1184" spans="2:8" x14ac:dyDescent="0.3">
      <c r="B1184" s="268" t="s">
        <v>341</v>
      </c>
      <c r="C1184" s="268" t="s">
        <v>342</v>
      </c>
      <c r="D1184" s="268" t="s">
        <v>151</v>
      </c>
      <c r="E1184" s="268" t="s">
        <v>332</v>
      </c>
      <c r="F1184" s="268" t="s">
        <v>285</v>
      </c>
      <c r="G1184">
        <v>55</v>
      </c>
      <c r="H1184">
        <v>28460</v>
      </c>
    </row>
    <row r="1185" spans="2:8" x14ac:dyDescent="0.3">
      <c r="B1185" s="268" t="s">
        <v>341</v>
      </c>
      <c r="C1185" s="268" t="s">
        <v>342</v>
      </c>
      <c r="D1185" s="268" t="s">
        <v>151</v>
      </c>
      <c r="E1185" s="268" t="s">
        <v>332</v>
      </c>
      <c r="F1185" s="268" t="s">
        <v>286</v>
      </c>
      <c r="G1185">
        <v>56</v>
      </c>
      <c r="H1185">
        <v>28351</v>
      </c>
    </row>
    <row r="1186" spans="2:8" x14ac:dyDescent="0.3">
      <c r="B1186" s="268" t="s">
        <v>341</v>
      </c>
      <c r="C1186" s="268" t="s">
        <v>342</v>
      </c>
      <c r="D1186" s="268" t="s">
        <v>151</v>
      </c>
      <c r="E1186" s="268" t="s">
        <v>332</v>
      </c>
      <c r="F1186" s="268" t="s">
        <v>287</v>
      </c>
      <c r="G1186">
        <v>57</v>
      </c>
      <c r="H1186">
        <v>27831</v>
      </c>
    </row>
    <row r="1187" spans="2:8" x14ac:dyDescent="0.3">
      <c r="B1187" s="268" t="s">
        <v>341</v>
      </c>
      <c r="C1187" s="268" t="s">
        <v>342</v>
      </c>
      <c r="D1187" s="268" t="s">
        <v>151</v>
      </c>
      <c r="E1187" s="268" t="s">
        <v>332</v>
      </c>
      <c r="F1187" s="268" t="s">
        <v>288</v>
      </c>
      <c r="G1187">
        <v>58</v>
      </c>
      <c r="H1187">
        <v>27214</v>
      </c>
    </row>
    <row r="1188" spans="2:8" x14ac:dyDescent="0.3">
      <c r="B1188" s="268" t="s">
        <v>341</v>
      </c>
      <c r="C1188" s="268" t="s">
        <v>342</v>
      </c>
      <c r="D1188" s="268" t="s">
        <v>151</v>
      </c>
      <c r="E1188" s="268" t="s">
        <v>332</v>
      </c>
      <c r="F1188" s="268" t="s">
        <v>289</v>
      </c>
      <c r="G1188">
        <v>59</v>
      </c>
      <c r="H1188">
        <v>26937</v>
      </c>
    </row>
    <row r="1189" spans="2:8" x14ac:dyDescent="0.3">
      <c r="B1189" s="268" t="s">
        <v>341</v>
      </c>
      <c r="C1189" s="268" t="s">
        <v>342</v>
      </c>
      <c r="D1189" s="268" t="s">
        <v>151</v>
      </c>
      <c r="E1189" s="268" t="s">
        <v>332</v>
      </c>
      <c r="F1189" s="268" t="s">
        <v>290</v>
      </c>
      <c r="G1189">
        <v>60</v>
      </c>
      <c r="H1189">
        <v>26682</v>
      </c>
    </row>
    <row r="1190" spans="2:8" x14ac:dyDescent="0.3">
      <c r="B1190" s="268" t="s">
        <v>341</v>
      </c>
      <c r="C1190" s="268" t="s">
        <v>342</v>
      </c>
      <c r="D1190" s="268" t="s">
        <v>151</v>
      </c>
      <c r="E1190" s="268" t="s">
        <v>332</v>
      </c>
      <c r="F1190" s="268" t="s">
        <v>291</v>
      </c>
      <c r="G1190">
        <v>61</v>
      </c>
      <c r="H1190">
        <v>24912</v>
      </c>
    </row>
    <row r="1191" spans="2:8" x14ac:dyDescent="0.3">
      <c r="B1191" s="268" t="s">
        <v>341</v>
      </c>
      <c r="C1191" s="268" t="s">
        <v>342</v>
      </c>
      <c r="D1191" s="268" t="s">
        <v>151</v>
      </c>
      <c r="E1191" s="268" t="s">
        <v>332</v>
      </c>
      <c r="F1191" s="268" t="s">
        <v>292</v>
      </c>
      <c r="G1191">
        <v>62</v>
      </c>
      <c r="H1191">
        <v>24072</v>
      </c>
    </row>
    <row r="1192" spans="2:8" x14ac:dyDescent="0.3">
      <c r="B1192" s="268" t="s">
        <v>341</v>
      </c>
      <c r="C1192" s="268" t="s">
        <v>342</v>
      </c>
      <c r="D1192" s="268" t="s">
        <v>151</v>
      </c>
      <c r="E1192" s="268" t="s">
        <v>332</v>
      </c>
      <c r="F1192" s="268" t="s">
        <v>293</v>
      </c>
      <c r="G1192">
        <v>63</v>
      </c>
      <c r="H1192">
        <v>23081</v>
      </c>
    </row>
    <row r="1193" spans="2:8" x14ac:dyDescent="0.3">
      <c r="B1193" s="268" t="s">
        <v>341</v>
      </c>
      <c r="C1193" s="268" t="s">
        <v>342</v>
      </c>
      <c r="D1193" s="268" t="s">
        <v>151</v>
      </c>
      <c r="E1193" s="268" t="s">
        <v>332</v>
      </c>
      <c r="F1193" s="268" t="s">
        <v>294</v>
      </c>
      <c r="G1193">
        <v>64</v>
      </c>
      <c r="H1193">
        <v>21859</v>
      </c>
    </row>
    <row r="1194" spans="2:8" x14ac:dyDescent="0.3">
      <c r="B1194" s="268" t="s">
        <v>341</v>
      </c>
      <c r="C1194" s="268" t="s">
        <v>342</v>
      </c>
      <c r="D1194" s="268" t="s">
        <v>151</v>
      </c>
      <c r="E1194" s="268" t="s">
        <v>332</v>
      </c>
      <c r="F1194" s="268" t="s">
        <v>295</v>
      </c>
      <c r="G1194">
        <v>65</v>
      </c>
      <c r="H1194">
        <v>21087</v>
      </c>
    </row>
    <row r="1195" spans="2:8" x14ac:dyDescent="0.3">
      <c r="B1195" s="268" t="s">
        <v>341</v>
      </c>
      <c r="C1195" s="268" t="s">
        <v>342</v>
      </c>
      <c r="D1195" s="268" t="s">
        <v>151</v>
      </c>
      <c r="E1195" s="268" t="s">
        <v>332</v>
      </c>
      <c r="F1195" s="268" t="s">
        <v>296</v>
      </c>
      <c r="G1195">
        <v>66</v>
      </c>
      <c r="H1195">
        <v>19307</v>
      </c>
    </row>
    <row r="1196" spans="2:8" x14ac:dyDescent="0.3">
      <c r="B1196" s="268" t="s">
        <v>341</v>
      </c>
      <c r="C1196" s="268" t="s">
        <v>342</v>
      </c>
      <c r="D1196" s="268" t="s">
        <v>151</v>
      </c>
      <c r="E1196" s="268" t="s">
        <v>332</v>
      </c>
      <c r="F1196" s="268" t="s">
        <v>297</v>
      </c>
      <c r="G1196">
        <v>67</v>
      </c>
      <c r="H1196">
        <v>17922</v>
      </c>
    </row>
    <row r="1197" spans="2:8" x14ac:dyDescent="0.3">
      <c r="B1197" s="268" t="s">
        <v>341</v>
      </c>
      <c r="C1197" s="268" t="s">
        <v>342</v>
      </c>
      <c r="D1197" s="268" t="s">
        <v>151</v>
      </c>
      <c r="E1197" s="268" t="s">
        <v>332</v>
      </c>
      <c r="F1197" s="268" t="s">
        <v>298</v>
      </c>
      <c r="G1197">
        <v>68</v>
      </c>
      <c r="H1197">
        <v>16503</v>
      </c>
    </row>
    <row r="1198" spans="2:8" x14ac:dyDescent="0.3">
      <c r="B1198" s="268" t="s">
        <v>341</v>
      </c>
      <c r="C1198" s="268" t="s">
        <v>342</v>
      </c>
      <c r="D1198" s="268" t="s">
        <v>151</v>
      </c>
      <c r="E1198" s="268" t="s">
        <v>332</v>
      </c>
      <c r="F1198" s="268" t="s">
        <v>299</v>
      </c>
      <c r="G1198">
        <v>69</v>
      </c>
      <c r="H1198">
        <v>15624</v>
      </c>
    </row>
    <row r="1199" spans="2:8" x14ac:dyDescent="0.3">
      <c r="B1199" s="268" t="s">
        <v>341</v>
      </c>
      <c r="C1199" s="268" t="s">
        <v>342</v>
      </c>
      <c r="D1199" s="268" t="s">
        <v>151</v>
      </c>
      <c r="E1199" s="268" t="s">
        <v>332</v>
      </c>
      <c r="F1199" s="268" t="s">
        <v>300</v>
      </c>
      <c r="G1199">
        <v>70</v>
      </c>
      <c r="H1199">
        <v>15010</v>
      </c>
    </row>
    <row r="1200" spans="2:8" x14ac:dyDescent="0.3">
      <c r="B1200" s="268" t="s">
        <v>341</v>
      </c>
      <c r="C1200" s="268" t="s">
        <v>342</v>
      </c>
      <c r="D1200" s="268" t="s">
        <v>151</v>
      </c>
      <c r="E1200" s="268" t="s">
        <v>332</v>
      </c>
      <c r="F1200" s="268" t="s">
        <v>301</v>
      </c>
      <c r="G1200">
        <v>71</v>
      </c>
      <c r="H1200">
        <v>13668</v>
      </c>
    </row>
    <row r="1201" spans="2:8" x14ac:dyDescent="0.3">
      <c r="B1201" s="268" t="s">
        <v>341</v>
      </c>
      <c r="C1201" s="268" t="s">
        <v>342</v>
      </c>
      <c r="D1201" s="268" t="s">
        <v>151</v>
      </c>
      <c r="E1201" s="268" t="s">
        <v>332</v>
      </c>
      <c r="F1201" s="268" t="s">
        <v>302</v>
      </c>
      <c r="G1201">
        <v>72</v>
      </c>
      <c r="H1201">
        <v>12979</v>
      </c>
    </row>
    <row r="1202" spans="2:8" x14ac:dyDescent="0.3">
      <c r="B1202" s="268" t="s">
        <v>341</v>
      </c>
      <c r="C1202" s="268" t="s">
        <v>342</v>
      </c>
      <c r="D1202" s="268" t="s">
        <v>151</v>
      </c>
      <c r="E1202" s="268" t="s">
        <v>332</v>
      </c>
      <c r="F1202" s="268" t="s">
        <v>303</v>
      </c>
      <c r="G1202">
        <v>73</v>
      </c>
      <c r="H1202">
        <v>12863</v>
      </c>
    </row>
    <row r="1203" spans="2:8" x14ac:dyDescent="0.3">
      <c r="B1203" s="268" t="s">
        <v>341</v>
      </c>
      <c r="C1203" s="268" t="s">
        <v>342</v>
      </c>
      <c r="D1203" s="268" t="s">
        <v>151</v>
      </c>
      <c r="E1203" s="268" t="s">
        <v>332</v>
      </c>
      <c r="F1203" s="268" t="s">
        <v>304</v>
      </c>
      <c r="G1203">
        <v>74</v>
      </c>
      <c r="H1203">
        <v>9740</v>
      </c>
    </row>
    <row r="1204" spans="2:8" x14ac:dyDescent="0.3">
      <c r="B1204" s="268" t="s">
        <v>341</v>
      </c>
      <c r="C1204" s="268" t="s">
        <v>342</v>
      </c>
      <c r="D1204" s="268" t="s">
        <v>151</v>
      </c>
      <c r="E1204" s="268" t="s">
        <v>332</v>
      </c>
      <c r="F1204" s="268" t="s">
        <v>305</v>
      </c>
      <c r="G1204">
        <v>75</v>
      </c>
      <c r="H1204">
        <v>9271</v>
      </c>
    </row>
    <row r="1205" spans="2:8" x14ac:dyDescent="0.3">
      <c r="B1205" s="268" t="s">
        <v>341</v>
      </c>
      <c r="C1205" s="268" t="s">
        <v>342</v>
      </c>
      <c r="D1205" s="268" t="s">
        <v>151</v>
      </c>
      <c r="E1205" s="268" t="s">
        <v>332</v>
      </c>
      <c r="F1205" s="268" t="s">
        <v>306</v>
      </c>
      <c r="G1205">
        <v>76</v>
      </c>
      <c r="H1205">
        <v>8397</v>
      </c>
    </row>
    <row r="1206" spans="2:8" x14ac:dyDescent="0.3">
      <c r="B1206" s="268" t="s">
        <v>341</v>
      </c>
      <c r="C1206" s="268" t="s">
        <v>342</v>
      </c>
      <c r="D1206" s="268" t="s">
        <v>151</v>
      </c>
      <c r="E1206" s="268" t="s">
        <v>332</v>
      </c>
      <c r="F1206" s="268" t="s">
        <v>307</v>
      </c>
      <c r="G1206">
        <v>77</v>
      </c>
      <c r="H1206">
        <v>7939</v>
      </c>
    </row>
    <row r="1207" spans="2:8" x14ac:dyDescent="0.3">
      <c r="B1207" s="268" t="s">
        <v>341</v>
      </c>
      <c r="C1207" s="268" t="s">
        <v>342</v>
      </c>
      <c r="D1207" s="268" t="s">
        <v>151</v>
      </c>
      <c r="E1207" s="268" t="s">
        <v>332</v>
      </c>
      <c r="F1207" s="268" t="s">
        <v>308</v>
      </c>
      <c r="G1207">
        <v>78</v>
      </c>
      <c r="H1207">
        <v>6907</v>
      </c>
    </row>
    <row r="1208" spans="2:8" x14ac:dyDescent="0.3">
      <c r="B1208" s="268" t="s">
        <v>341</v>
      </c>
      <c r="C1208" s="268" t="s">
        <v>342</v>
      </c>
      <c r="D1208" s="268" t="s">
        <v>151</v>
      </c>
      <c r="E1208" s="268" t="s">
        <v>332</v>
      </c>
      <c r="F1208" s="268" t="s">
        <v>309</v>
      </c>
      <c r="G1208">
        <v>79</v>
      </c>
      <c r="H1208">
        <v>6093</v>
      </c>
    </row>
    <row r="1209" spans="2:8" x14ac:dyDescent="0.3">
      <c r="B1209" s="268" t="s">
        <v>341</v>
      </c>
      <c r="C1209" s="268" t="s">
        <v>342</v>
      </c>
      <c r="D1209" s="268" t="s">
        <v>151</v>
      </c>
      <c r="E1209" s="268" t="s">
        <v>332</v>
      </c>
      <c r="F1209" s="268" t="s">
        <v>310</v>
      </c>
      <c r="G1209">
        <v>80</v>
      </c>
      <c r="H1209">
        <v>5595</v>
      </c>
    </row>
    <row r="1210" spans="2:8" x14ac:dyDescent="0.3">
      <c r="B1210" s="268" t="s">
        <v>341</v>
      </c>
      <c r="C1210" s="268" t="s">
        <v>342</v>
      </c>
      <c r="D1210" s="268" t="s">
        <v>151</v>
      </c>
      <c r="E1210" s="268" t="s">
        <v>332</v>
      </c>
      <c r="F1210" s="268" t="s">
        <v>311</v>
      </c>
      <c r="G1210">
        <v>81</v>
      </c>
      <c r="H1210">
        <v>4835</v>
      </c>
    </row>
    <row r="1211" spans="2:8" x14ac:dyDescent="0.3">
      <c r="B1211" s="268" t="s">
        <v>341</v>
      </c>
      <c r="C1211" s="268" t="s">
        <v>342</v>
      </c>
      <c r="D1211" s="268" t="s">
        <v>151</v>
      </c>
      <c r="E1211" s="268" t="s">
        <v>332</v>
      </c>
      <c r="F1211" s="268" t="s">
        <v>312</v>
      </c>
      <c r="G1211">
        <v>82</v>
      </c>
      <c r="H1211">
        <v>4379</v>
      </c>
    </row>
    <row r="1212" spans="2:8" x14ac:dyDescent="0.3">
      <c r="B1212" s="268" t="s">
        <v>341</v>
      </c>
      <c r="C1212" s="268" t="s">
        <v>342</v>
      </c>
      <c r="D1212" s="268" t="s">
        <v>151</v>
      </c>
      <c r="E1212" s="268" t="s">
        <v>332</v>
      </c>
      <c r="F1212" s="268" t="s">
        <v>313</v>
      </c>
      <c r="G1212">
        <v>83</v>
      </c>
      <c r="H1212">
        <v>3828</v>
      </c>
    </row>
    <row r="1213" spans="2:8" x14ac:dyDescent="0.3">
      <c r="B1213" s="268" t="s">
        <v>341</v>
      </c>
      <c r="C1213" s="268" t="s">
        <v>342</v>
      </c>
      <c r="D1213" s="268" t="s">
        <v>151</v>
      </c>
      <c r="E1213" s="268" t="s">
        <v>332</v>
      </c>
      <c r="F1213" s="268" t="s">
        <v>314</v>
      </c>
      <c r="G1213">
        <v>84</v>
      </c>
      <c r="H1213">
        <v>3384</v>
      </c>
    </row>
    <row r="1214" spans="2:8" x14ac:dyDescent="0.3">
      <c r="B1214" s="268" t="s">
        <v>341</v>
      </c>
      <c r="C1214" s="268" t="s">
        <v>342</v>
      </c>
      <c r="D1214" s="268" t="s">
        <v>151</v>
      </c>
      <c r="E1214" s="268" t="s">
        <v>332</v>
      </c>
      <c r="F1214" s="268" t="s">
        <v>315</v>
      </c>
      <c r="G1214">
        <v>85</v>
      </c>
      <c r="H1214">
        <v>2943</v>
      </c>
    </row>
    <row r="1215" spans="2:8" x14ac:dyDescent="0.3">
      <c r="B1215" s="268" t="s">
        <v>341</v>
      </c>
      <c r="C1215" s="268" t="s">
        <v>342</v>
      </c>
      <c r="D1215" s="268" t="s">
        <v>151</v>
      </c>
      <c r="E1215" s="268" t="s">
        <v>332</v>
      </c>
      <c r="F1215" s="268" t="s">
        <v>316</v>
      </c>
      <c r="G1215">
        <v>86</v>
      </c>
      <c r="H1215">
        <v>2461</v>
      </c>
    </row>
    <row r="1216" spans="2:8" x14ac:dyDescent="0.3">
      <c r="B1216" s="268" t="s">
        <v>341</v>
      </c>
      <c r="C1216" s="268" t="s">
        <v>342</v>
      </c>
      <c r="D1216" s="268" t="s">
        <v>151</v>
      </c>
      <c r="E1216" s="268" t="s">
        <v>332</v>
      </c>
      <c r="F1216" s="268" t="s">
        <v>317</v>
      </c>
      <c r="G1216">
        <v>87</v>
      </c>
      <c r="H1216">
        <v>2121</v>
      </c>
    </row>
    <row r="1217" spans="1:9" x14ac:dyDescent="0.3">
      <c r="B1217" s="268" t="s">
        <v>341</v>
      </c>
      <c r="C1217" s="268" t="s">
        <v>342</v>
      </c>
      <c r="D1217" s="268" t="s">
        <v>151</v>
      </c>
      <c r="E1217" s="268" t="s">
        <v>332</v>
      </c>
      <c r="F1217" s="268" t="s">
        <v>318</v>
      </c>
      <c r="G1217">
        <v>88</v>
      </c>
      <c r="H1217">
        <v>1803</v>
      </c>
    </row>
    <row r="1218" spans="1:9" x14ac:dyDescent="0.3">
      <c r="B1218" s="268" t="s">
        <v>341</v>
      </c>
      <c r="C1218" s="268" t="s">
        <v>342</v>
      </c>
      <c r="D1218" s="268" t="s">
        <v>151</v>
      </c>
      <c r="E1218" s="268" t="s">
        <v>332</v>
      </c>
      <c r="F1218" s="268" t="s">
        <v>319</v>
      </c>
      <c r="G1218">
        <v>89</v>
      </c>
      <c r="H1218">
        <v>1526</v>
      </c>
    </row>
    <row r="1219" spans="1:9" x14ac:dyDescent="0.3">
      <c r="B1219" s="268" t="s">
        <v>341</v>
      </c>
      <c r="C1219" s="268" t="s">
        <v>342</v>
      </c>
      <c r="D1219" s="268" t="s">
        <v>151</v>
      </c>
      <c r="E1219" s="268" t="s">
        <v>332</v>
      </c>
      <c r="F1219" s="268" t="s">
        <v>320</v>
      </c>
      <c r="G1219">
        <v>90</v>
      </c>
      <c r="H1219">
        <v>1293</v>
      </c>
    </row>
    <row r="1220" spans="1:9" x14ac:dyDescent="0.3">
      <c r="B1220" s="268" t="s">
        <v>341</v>
      </c>
      <c r="C1220" s="268" t="s">
        <v>342</v>
      </c>
      <c r="D1220" s="268" t="s">
        <v>151</v>
      </c>
      <c r="E1220" s="268" t="s">
        <v>332</v>
      </c>
      <c r="F1220" s="268" t="s">
        <v>321</v>
      </c>
      <c r="G1220">
        <v>91</v>
      </c>
      <c r="H1220">
        <v>1057</v>
      </c>
    </row>
    <row r="1221" spans="1:9" x14ac:dyDescent="0.3">
      <c r="B1221" s="268" t="s">
        <v>341</v>
      </c>
      <c r="C1221" s="268" t="s">
        <v>342</v>
      </c>
      <c r="D1221" s="268" t="s">
        <v>151</v>
      </c>
      <c r="E1221" s="268" t="s">
        <v>332</v>
      </c>
      <c r="F1221" s="268" t="s">
        <v>322</v>
      </c>
      <c r="G1221">
        <v>92</v>
      </c>
      <c r="H1221">
        <v>834</v>
      </c>
    </row>
    <row r="1222" spans="1:9" x14ac:dyDescent="0.3">
      <c r="B1222" s="268" t="s">
        <v>341</v>
      </c>
      <c r="C1222" s="268" t="s">
        <v>342</v>
      </c>
      <c r="D1222" s="268" t="s">
        <v>151</v>
      </c>
      <c r="E1222" s="268" t="s">
        <v>332</v>
      </c>
      <c r="F1222" s="268" t="s">
        <v>323</v>
      </c>
      <c r="G1222">
        <v>93</v>
      </c>
      <c r="H1222">
        <v>669</v>
      </c>
    </row>
    <row r="1223" spans="1:9" x14ac:dyDescent="0.3">
      <c r="B1223" s="268" t="s">
        <v>341</v>
      </c>
      <c r="C1223" s="268" t="s">
        <v>342</v>
      </c>
      <c r="D1223" s="268" t="s">
        <v>151</v>
      </c>
      <c r="E1223" s="268" t="s">
        <v>332</v>
      </c>
      <c r="F1223" s="268" t="s">
        <v>324</v>
      </c>
      <c r="G1223">
        <v>94</v>
      </c>
      <c r="H1223">
        <v>494</v>
      </c>
    </row>
    <row r="1224" spans="1:9" x14ac:dyDescent="0.3">
      <c r="B1224" s="268" t="s">
        <v>341</v>
      </c>
      <c r="C1224" s="268" t="s">
        <v>342</v>
      </c>
      <c r="D1224" s="268" t="s">
        <v>151</v>
      </c>
      <c r="E1224" s="268" t="s">
        <v>332</v>
      </c>
      <c r="F1224" s="268" t="s">
        <v>325</v>
      </c>
      <c r="G1224">
        <v>95</v>
      </c>
      <c r="H1224">
        <v>381</v>
      </c>
    </row>
    <row r="1225" spans="1:9" x14ac:dyDescent="0.3">
      <c r="B1225" s="268" t="s">
        <v>341</v>
      </c>
      <c r="C1225" s="268" t="s">
        <v>342</v>
      </c>
      <c r="D1225" s="268" t="s">
        <v>151</v>
      </c>
      <c r="E1225" s="268" t="s">
        <v>332</v>
      </c>
      <c r="F1225" s="268" t="s">
        <v>326</v>
      </c>
      <c r="G1225">
        <v>96</v>
      </c>
      <c r="H1225">
        <v>278</v>
      </c>
    </row>
    <row r="1226" spans="1:9" x14ac:dyDescent="0.3">
      <c r="B1226" s="268" t="s">
        <v>341</v>
      </c>
      <c r="C1226" s="268" t="s">
        <v>342</v>
      </c>
      <c r="D1226" s="268" t="s">
        <v>151</v>
      </c>
      <c r="E1226" s="268" t="s">
        <v>332</v>
      </c>
      <c r="F1226" s="268" t="s">
        <v>327</v>
      </c>
      <c r="G1226">
        <v>97</v>
      </c>
      <c r="H1226">
        <v>204</v>
      </c>
    </row>
    <row r="1227" spans="1:9" x14ac:dyDescent="0.3">
      <c r="B1227" s="268" t="s">
        <v>341</v>
      </c>
      <c r="C1227" s="268" t="s">
        <v>342</v>
      </c>
      <c r="D1227" s="268" t="s">
        <v>151</v>
      </c>
      <c r="E1227" s="268" t="s">
        <v>332</v>
      </c>
      <c r="F1227" s="268" t="s">
        <v>328</v>
      </c>
      <c r="G1227">
        <v>98</v>
      </c>
      <c r="H1227">
        <v>145</v>
      </c>
    </row>
    <row r="1228" spans="1:9" x14ac:dyDescent="0.3">
      <c r="B1228" s="268" t="s">
        <v>341</v>
      </c>
      <c r="C1228" s="268" t="s">
        <v>342</v>
      </c>
      <c r="D1228" s="268" t="s">
        <v>151</v>
      </c>
      <c r="E1228" s="268" t="s">
        <v>332</v>
      </c>
      <c r="F1228" s="268" t="s">
        <v>329</v>
      </c>
      <c r="G1228">
        <v>99</v>
      </c>
      <c r="H1228">
        <v>96</v>
      </c>
    </row>
    <row r="1229" spans="1:9" x14ac:dyDescent="0.3">
      <c r="B1229" s="268" t="s">
        <v>341</v>
      </c>
      <c r="C1229" s="268" t="s">
        <v>342</v>
      </c>
      <c r="D1229" s="268" t="s">
        <v>151</v>
      </c>
      <c r="E1229" s="268" t="s">
        <v>332</v>
      </c>
      <c r="F1229" s="268" t="s">
        <v>330</v>
      </c>
      <c r="G1229" t="s">
        <v>331</v>
      </c>
      <c r="H1229">
        <v>119</v>
      </c>
    </row>
    <row r="1230" spans="1:9" x14ac:dyDescent="0.3">
      <c r="A1230" s="268" t="s">
        <v>70</v>
      </c>
      <c r="B1230" s="268" t="s">
        <v>341</v>
      </c>
      <c r="C1230" s="268" t="s">
        <v>342</v>
      </c>
      <c r="D1230" s="268" t="s">
        <v>151</v>
      </c>
      <c r="E1230" s="268" t="s">
        <v>332</v>
      </c>
      <c r="H1230">
        <v>4778230</v>
      </c>
    </row>
    <row r="1231" spans="1:9" x14ac:dyDescent="0.3">
      <c r="A1231" s="268" t="s">
        <v>70</v>
      </c>
      <c r="B1231" s="268" t="s">
        <v>341</v>
      </c>
      <c r="C1231" s="268" t="s">
        <v>342</v>
      </c>
      <c r="H1231">
        <v>9638941</v>
      </c>
      <c r="I1231" t="s">
        <v>151</v>
      </c>
    </row>
    <row r="1232" spans="1:9" x14ac:dyDescent="0.3">
      <c r="A1232" s="268" t="s">
        <v>70</v>
      </c>
      <c r="H1232">
        <v>334503458</v>
      </c>
      <c r="I1232">
        <f>H205+H410+H615+H820+H1025+H1230</f>
        <v>165036419</v>
      </c>
    </row>
    <row r="1233" spans="1:1" x14ac:dyDescent="0.3">
      <c r="A1233" s="268" t="s">
        <v>343</v>
      </c>
    </row>
    <row r="1234" spans="1:1" x14ac:dyDescent="0.3">
      <c r="A1234" s="268" t="s">
        <v>344</v>
      </c>
    </row>
    <row r="1235" spans="1:1" x14ac:dyDescent="0.3">
      <c r="A1235" s="268" t="s">
        <v>345</v>
      </c>
    </row>
    <row r="1236" spans="1:1" x14ac:dyDescent="0.3">
      <c r="A1236" s="268" t="s">
        <v>346</v>
      </c>
    </row>
    <row r="1237" spans="1:1" x14ac:dyDescent="0.3">
      <c r="A1237" s="268" t="s">
        <v>347</v>
      </c>
    </row>
    <row r="1238" spans="1:1" x14ac:dyDescent="0.3">
      <c r="A1238" s="268" t="s">
        <v>348</v>
      </c>
    </row>
    <row r="1239" spans="1:1" x14ac:dyDescent="0.3">
      <c r="A1239" s="268" t="s">
        <v>349</v>
      </c>
    </row>
    <row r="1240" spans="1:1" x14ac:dyDescent="0.3">
      <c r="A1240" s="268" t="s">
        <v>350</v>
      </c>
    </row>
    <row r="1241" spans="1:1" x14ac:dyDescent="0.3">
      <c r="A1241" s="268" t="s">
        <v>351</v>
      </c>
    </row>
    <row r="1242" spans="1:1" x14ac:dyDescent="0.3">
      <c r="A1242" s="268" t="s">
        <v>343</v>
      </c>
    </row>
    <row r="1243" spans="1:1" x14ac:dyDescent="0.3">
      <c r="A1243" s="268" t="s">
        <v>352</v>
      </c>
    </row>
    <row r="1244" spans="1:1" x14ac:dyDescent="0.3">
      <c r="A1244" s="268" t="s">
        <v>343</v>
      </c>
    </row>
    <row r="1245" spans="1:1" x14ac:dyDescent="0.3">
      <c r="A1245" s="268" t="s">
        <v>353</v>
      </c>
    </row>
    <row r="1246" spans="1:1" x14ac:dyDescent="0.3">
      <c r="A1246" s="268" t="s">
        <v>343</v>
      </c>
    </row>
    <row r="1247" spans="1:1" x14ac:dyDescent="0.3">
      <c r="A1247" s="268" t="s">
        <v>354</v>
      </c>
    </row>
    <row r="1248" spans="1:1" x14ac:dyDescent="0.3">
      <c r="A1248" s="268" t="s">
        <v>355</v>
      </c>
    </row>
    <row r="1249" spans="1:1" x14ac:dyDescent="0.3">
      <c r="A1249" s="277" t="s">
        <v>356</v>
      </c>
    </row>
    <row r="1250" spans="1:1" x14ac:dyDescent="0.3">
      <c r="A1250" s="268" t="s">
        <v>343</v>
      </c>
    </row>
    <row r="1251" spans="1:1" x14ac:dyDescent="0.3">
      <c r="A1251" s="268" t="s">
        <v>357</v>
      </c>
    </row>
    <row r="1252" spans="1:1" x14ac:dyDescent="0.3">
      <c r="A1252" s="268" t="s">
        <v>358</v>
      </c>
    </row>
    <row r="1253" spans="1:1" x14ac:dyDescent="0.3">
      <c r="A1253" s="268" t="s">
        <v>359</v>
      </c>
    </row>
    <row r="1254" spans="1:1" x14ac:dyDescent="0.3">
      <c r="A1254" s="268" t="s">
        <v>360</v>
      </c>
    </row>
  </sheetData>
  <conditionalFormatting sqref="J4:J5">
    <cfRule type="expression" dxfId="139" priority="31">
      <formula>#REF!="Yes"</formula>
    </cfRule>
    <cfRule type="expression" dxfId="138" priority="32">
      <formula>$A2=1</formula>
    </cfRule>
  </conditionalFormatting>
  <conditionalFormatting sqref="J9">
    <cfRule type="expression" dxfId="137" priority="23">
      <formula>#REF!="Yes"</formula>
    </cfRule>
    <cfRule type="expression" dxfId="136" priority="24">
      <formula>$A7=1</formula>
    </cfRule>
  </conditionalFormatting>
  <conditionalFormatting sqref="J8">
    <cfRule type="expression" dxfId="135" priority="25">
      <formula>#REF!="Yes"</formula>
    </cfRule>
    <cfRule type="expression" dxfId="134" priority="26">
      <formula>$A6=1</formula>
    </cfRule>
  </conditionalFormatting>
  <conditionalFormatting sqref="J6">
    <cfRule type="expression" dxfId="133" priority="29">
      <formula>#REF!="Yes"</formula>
    </cfRule>
    <cfRule type="expression" dxfId="132" priority="30">
      <formula>$A4=1</formula>
    </cfRule>
  </conditionalFormatting>
  <conditionalFormatting sqref="J10">
    <cfRule type="expression" dxfId="131" priority="21">
      <formula>#REF!="Yes"</formula>
    </cfRule>
    <cfRule type="expression" dxfId="130" priority="22">
      <formula>$A8=1</formula>
    </cfRule>
  </conditionalFormatting>
  <conditionalFormatting sqref="J11">
    <cfRule type="expression" dxfId="129" priority="19">
      <formula>#REF!="Yes"</formula>
    </cfRule>
    <cfRule type="expression" dxfId="128" priority="20">
      <formula>$A9=1</formula>
    </cfRule>
  </conditionalFormatting>
  <conditionalFormatting sqref="J7">
    <cfRule type="expression" dxfId="127" priority="27">
      <formula>#REF!="Yes"</formula>
    </cfRule>
    <cfRule type="expression" dxfId="126" priority="28">
      <formula>$A5=1</formula>
    </cfRule>
  </conditionalFormatting>
  <conditionalFormatting sqref="J12">
    <cfRule type="expression" dxfId="125" priority="17">
      <formula>#REF!="Yes"</formula>
    </cfRule>
    <cfRule type="expression" dxfId="124" priority="18">
      <formula>$A10=1</formula>
    </cfRule>
  </conditionalFormatting>
  <conditionalFormatting sqref="J13">
    <cfRule type="expression" dxfId="123" priority="15">
      <formula>#REF!="Yes"</formula>
    </cfRule>
    <cfRule type="expression" dxfId="122" priority="16">
      <formula>$A11=1</formula>
    </cfRule>
  </conditionalFormatting>
  <conditionalFormatting sqref="J20">
    <cfRule type="expression" dxfId="121" priority="1">
      <formula>#REF!="Yes"</formula>
    </cfRule>
    <cfRule type="expression" dxfId="120" priority="2">
      <formula>$A18=1</formula>
    </cfRule>
  </conditionalFormatting>
  <conditionalFormatting sqref="J14">
    <cfRule type="expression" dxfId="119" priority="13">
      <formula>#REF!="Yes"</formula>
    </cfRule>
    <cfRule type="expression" dxfId="118" priority="14">
      <formula>$A12=1</formula>
    </cfRule>
  </conditionalFormatting>
  <conditionalFormatting sqref="J15">
    <cfRule type="expression" dxfId="117" priority="11">
      <formula>#REF!="Yes"</formula>
    </cfRule>
    <cfRule type="expression" dxfId="116" priority="12">
      <formula>$A13=1</formula>
    </cfRule>
  </conditionalFormatting>
  <conditionalFormatting sqref="J16">
    <cfRule type="expression" dxfId="115" priority="9">
      <formula>#REF!="Yes"</formula>
    </cfRule>
    <cfRule type="expression" dxfId="114" priority="10">
      <formula>$A14=1</formula>
    </cfRule>
  </conditionalFormatting>
  <conditionalFormatting sqref="J17">
    <cfRule type="expression" dxfId="113" priority="7">
      <formula>#REF!="Yes"</formula>
    </cfRule>
    <cfRule type="expression" dxfId="112" priority="8">
      <formula>$A15=1</formula>
    </cfRule>
  </conditionalFormatting>
  <conditionalFormatting sqref="J18">
    <cfRule type="expression" dxfId="111" priority="5">
      <formula>#REF!="Yes"</formula>
    </cfRule>
    <cfRule type="expression" dxfId="110" priority="6">
      <formula>$A16=1</formula>
    </cfRule>
  </conditionalFormatting>
  <conditionalFormatting sqref="J19">
    <cfRule type="expression" dxfId="109" priority="3">
      <formula>#REF!="Yes"</formula>
    </cfRule>
    <cfRule type="expression" dxfId="108" priority="4">
      <formula>$A17=1</formula>
    </cfRule>
  </conditionalFormatting>
  <hyperlinks>
    <hyperlink ref="A1249" r:id="rId1" xr:uid="{EAAFFB50-2782-4359-8EB4-6AC40F4AA70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94D36-530C-42FB-9A9B-8DEE81385A93}">
  <dimension ref="A50:Q52"/>
  <sheetViews>
    <sheetView topLeftCell="A30" workbookViewId="0">
      <selection activeCell="B78" sqref="B78:J78"/>
    </sheetView>
  </sheetViews>
  <sheetFormatPr defaultRowHeight="14.4" x14ac:dyDescent="0.3"/>
  <sheetData>
    <row r="50" spans="1:17" ht="15" customHeight="1" x14ac:dyDescent="0.3">
      <c r="A50" s="278" t="s">
        <v>361</v>
      </c>
      <c r="B50" s="278"/>
      <c r="C50" s="278"/>
      <c r="D50" s="278"/>
      <c r="E50" s="278"/>
      <c r="F50" s="278"/>
      <c r="G50" s="278"/>
      <c r="H50" s="278"/>
      <c r="I50" s="278"/>
      <c r="J50" s="278"/>
      <c r="K50" s="278"/>
      <c r="L50" s="278"/>
      <c r="M50" s="278"/>
      <c r="N50" s="278"/>
      <c r="O50" s="278"/>
      <c r="P50" s="278"/>
      <c r="Q50" s="278"/>
    </row>
    <row r="51" spans="1:17" ht="15" customHeight="1" x14ac:dyDescent="0.3">
      <c r="A51" s="278"/>
      <c r="B51" s="278"/>
      <c r="C51" s="278"/>
      <c r="D51" s="278"/>
      <c r="E51" s="278"/>
      <c r="F51" s="278"/>
      <c r="G51" s="278"/>
      <c r="H51" s="278"/>
      <c r="I51" s="278"/>
      <c r="J51" s="278"/>
      <c r="K51" s="278"/>
      <c r="L51" s="278"/>
      <c r="M51" s="278"/>
      <c r="N51" s="278"/>
      <c r="O51" s="278"/>
      <c r="P51" s="278"/>
      <c r="Q51" s="278"/>
    </row>
    <row r="52" spans="1:17" ht="15" customHeight="1" x14ac:dyDescent="0.3">
      <c r="A52" s="278"/>
      <c r="B52" s="278"/>
      <c r="C52" s="278"/>
      <c r="D52" s="278"/>
      <c r="E52" s="278"/>
      <c r="F52" s="278"/>
      <c r="G52" s="278"/>
      <c r="H52" s="278"/>
      <c r="I52" s="278"/>
      <c r="J52" s="278"/>
      <c r="K52" s="278"/>
      <c r="L52" s="278"/>
      <c r="M52" s="278"/>
      <c r="N52" s="278"/>
      <c r="O52" s="278"/>
      <c r="P52" s="278"/>
      <c r="Q52" s="278"/>
    </row>
  </sheetData>
  <mergeCells count="1">
    <mergeCell ref="A50:Q5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0C09-39F5-4824-B6D5-1C75632121BC}">
  <dimension ref="A1:R2"/>
  <sheetViews>
    <sheetView workbookViewId="0">
      <selection activeCell="U7" sqref="U7"/>
    </sheetView>
  </sheetViews>
  <sheetFormatPr defaultRowHeight="14.4" x14ac:dyDescent="0.3"/>
  <sheetData>
    <row r="1" spans="1:18" ht="30" customHeight="1" x14ac:dyDescent="0.3">
      <c r="A1" s="278" t="s">
        <v>362</v>
      </c>
      <c r="B1" s="278"/>
      <c r="C1" s="278"/>
      <c r="D1" s="278"/>
      <c r="E1" s="278"/>
      <c r="F1" s="278"/>
      <c r="G1" s="278"/>
      <c r="H1" s="278"/>
      <c r="I1" s="278"/>
      <c r="J1" s="278"/>
      <c r="K1" s="278"/>
      <c r="L1" s="278"/>
      <c r="M1" s="278"/>
      <c r="N1" s="278"/>
      <c r="O1" s="278"/>
      <c r="P1" s="278"/>
      <c r="Q1" s="278"/>
      <c r="R1" s="278"/>
    </row>
    <row r="2" spans="1:18" x14ac:dyDescent="0.3">
      <c r="A2" t="s">
        <v>363</v>
      </c>
    </row>
  </sheetData>
  <mergeCells count="1">
    <mergeCell ref="A1:R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C35CE-BE0F-4088-8119-D6F8E1ED9D74}">
  <dimension ref="A1:T77"/>
  <sheetViews>
    <sheetView workbookViewId="0">
      <selection activeCell="U2" sqref="U2"/>
    </sheetView>
  </sheetViews>
  <sheetFormatPr defaultColWidth="10.77734375" defaultRowHeight="13.8" x14ac:dyDescent="0.3"/>
  <cols>
    <col min="1" max="1" width="9.33203125" style="87" customWidth="1"/>
    <col min="2" max="5" width="8.109375" style="8" customWidth="1"/>
    <col min="6" max="9" width="10.5546875" style="8" customWidth="1"/>
    <col min="10" max="12" width="8.109375" style="8" customWidth="1"/>
    <col min="13" max="13" width="10.5546875" style="8" customWidth="1"/>
    <col min="14" max="16" width="8.109375" style="1" customWidth="1"/>
    <col min="17" max="17" width="11" style="1" customWidth="1"/>
    <col min="18" max="20" width="8.109375" style="1" customWidth="1"/>
    <col min="21" max="16384" width="10.77734375" style="1"/>
  </cols>
  <sheetData>
    <row r="1" spans="1:20" ht="40.049999999999997" customHeight="1" x14ac:dyDescent="0.3">
      <c r="A1" s="146" t="s">
        <v>116</v>
      </c>
      <c r="B1" s="146"/>
      <c r="C1" s="146"/>
      <c r="D1" s="146"/>
      <c r="E1" s="146"/>
      <c r="F1" s="146"/>
      <c r="G1" s="146"/>
      <c r="H1" s="146"/>
      <c r="I1" s="146"/>
      <c r="J1" s="146"/>
      <c r="K1" s="146"/>
      <c r="L1" s="146"/>
      <c r="M1" s="146"/>
      <c r="N1" s="146"/>
      <c r="O1" s="146"/>
      <c r="P1" s="146"/>
      <c r="Q1" s="146"/>
      <c r="R1" s="146"/>
      <c r="S1" s="146"/>
      <c r="T1" s="146"/>
    </row>
    <row r="2" spans="1:20" ht="24" customHeight="1" x14ac:dyDescent="0.3">
      <c r="A2" s="122" t="s">
        <v>0</v>
      </c>
      <c r="B2" s="122"/>
      <c r="C2" s="122"/>
      <c r="D2" s="122"/>
      <c r="E2" s="122"/>
      <c r="F2" s="122"/>
      <c r="G2" s="122"/>
      <c r="H2" s="122"/>
      <c r="I2" s="122"/>
      <c r="J2" s="122"/>
      <c r="K2" s="122"/>
      <c r="L2" s="122"/>
      <c r="M2" s="122"/>
      <c r="N2" s="122"/>
      <c r="O2" s="122"/>
      <c r="P2" s="122"/>
      <c r="Q2" s="122"/>
      <c r="R2" s="122"/>
      <c r="S2" s="122"/>
      <c r="T2" s="122"/>
    </row>
    <row r="3" spans="1:20" ht="60" customHeight="1" x14ac:dyDescent="0.3">
      <c r="A3" s="123" t="s">
        <v>1</v>
      </c>
      <c r="B3" s="125" t="s">
        <v>2</v>
      </c>
      <c r="C3" s="127" t="s">
        <v>3</v>
      </c>
      <c r="D3" s="128"/>
      <c r="E3" s="129"/>
      <c r="F3" s="125" t="s">
        <v>4</v>
      </c>
      <c r="G3" s="125" t="s">
        <v>5</v>
      </c>
      <c r="H3" s="125" t="s">
        <v>6</v>
      </c>
      <c r="I3" s="125" t="s">
        <v>7</v>
      </c>
      <c r="J3" s="127" t="s">
        <v>8</v>
      </c>
      <c r="K3" s="128"/>
      <c r="L3" s="129"/>
      <c r="M3" s="125" t="s">
        <v>9</v>
      </c>
      <c r="N3" s="127" t="s">
        <v>10</v>
      </c>
      <c r="O3" s="128"/>
      <c r="P3" s="129"/>
      <c r="Q3" s="125" t="s">
        <v>111</v>
      </c>
      <c r="R3" s="128" t="s">
        <v>11</v>
      </c>
      <c r="S3" s="128"/>
      <c r="T3" s="128"/>
    </row>
    <row r="4" spans="1:20" ht="30" customHeight="1" x14ac:dyDescent="0.3">
      <c r="A4" s="124"/>
      <c r="B4" s="126"/>
      <c r="C4" s="2" t="s">
        <v>12</v>
      </c>
      <c r="D4" s="2" t="s">
        <v>13</v>
      </c>
      <c r="E4" s="3" t="s">
        <v>14</v>
      </c>
      <c r="F4" s="126"/>
      <c r="G4" s="126"/>
      <c r="H4" s="126"/>
      <c r="I4" s="126"/>
      <c r="J4" s="2" t="s">
        <v>12</v>
      </c>
      <c r="K4" s="2" t="s">
        <v>13</v>
      </c>
      <c r="L4" s="3" t="s">
        <v>14</v>
      </c>
      <c r="M4" s="126"/>
      <c r="N4" s="2" t="s">
        <v>12</v>
      </c>
      <c r="O4" s="2" t="s">
        <v>13</v>
      </c>
      <c r="P4" s="3" t="s">
        <v>14</v>
      </c>
      <c r="Q4" s="126"/>
      <c r="R4" s="2" t="s">
        <v>12</v>
      </c>
      <c r="S4" s="2" t="s">
        <v>13</v>
      </c>
      <c r="T4" s="4" t="s">
        <v>14</v>
      </c>
    </row>
    <row r="5" spans="1:20" ht="24" customHeight="1" x14ac:dyDescent="0.3">
      <c r="A5" s="5" t="s">
        <v>15</v>
      </c>
      <c r="B5" s="5"/>
      <c r="C5" s="6"/>
      <c r="D5" s="7"/>
      <c r="E5" s="6"/>
      <c r="I5" s="9"/>
      <c r="J5" s="6"/>
      <c r="K5" s="6"/>
      <c r="L5" s="10"/>
      <c r="M5" s="10"/>
      <c r="N5" s="10"/>
      <c r="O5" s="10"/>
      <c r="P5" s="10"/>
      <c r="Q5" s="11"/>
      <c r="R5" s="10"/>
      <c r="S5" s="10"/>
      <c r="T5" s="10"/>
    </row>
    <row r="6" spans="1:20" ht="24" customHeight="1" x14ac:dyDescent="0.3">
      <c r="A6" s="12" t="s">
        <v>16</v>
      </c>
      <c r="B6" s="13">
        <v>2</v>
      </c>
      <c r="C6" s="14">
        <f>$B6*(1-B$32)</f>
        <v>0.87999999999999989</v>
      </c>
      <c r="D6" s="14">
        <f>$B6*(1-D$32)</f>
        <v>0.41999999999999993</v>
      </c>
      <c r="E6" s="14">
        <f>$B6*(1-C$32)</f>
        <v>1.2</v>
      </c>
      <c r="F6" s="15">
        <v>2E-3</v>
      </c>
      <c r="G6" s="16">
        <v>0.2</v>
      </c>
      <c r="H6" s="17">
        <f>F6*(1-G6)</f>
        <v>1.6000000000000001E-3</v>
      </c>
      <c r="I6" s="18">
        <f>B53</f>
        <v>0.66292134831460681</v>
      </c>
      <c r="J6" s="19">
        <f t="shared" ref="J6:L8" si="0">C6*$H6*$I6</f>
        <v>9.3339325842696638E-4</v>
      </c>
      <c r="K6" s="19">
        <f t="shared" si="0"/>
        <v>4.4548314606741575E-4</v>
      </c>
      <c r="L6" s="19">
        <f t="shared" si="0"/>
        <v>1.2728089887640451E-3</v>
      </c>
      <c r="M6" s="20">
        <f>'[1]LLE and QALYs'!E13</f>
        <v>10.628843275623735</v>
      </c>
      <c r="N6" s="21">
        <f t="shared" ref="N6:P8" si="1">J6*$M6*365*24/$B$52</f>
        <v>4.8824158520838949</v>
      </c>
      <c r="O6" s="21">
        <f t="shared" si="1"/>
        <v>2.330243929403677</v>
      </c>
      <c r="P6" s="21">
        <f t="shared" si="1"/>
        <v>6.6578397982962203</v>
      </c>
      <c r="Q6" s="22">
        <f>(B$51+B$52)*(((B$58/H6-B$60)/C$61)/B$59)</f>
        <v>3.347440299579138E-2</v>
      </c>
      <c r="R6" s="23">
        <f t="shared" ref="R6:T8" si="2">60*N6*$Q6*($B$52+$B$51)/$B$52</f>
        <v>13.111603647140145</v>
      </c>
      <c r="S6" s="23">
        <f t="shared" si="2"/>
        <v>6.2578108315896133</v>
      </c>
      <c r="T6" s="24">
        <f t="shared" si="2"/>
        <v>17.879459518827467</v>
      </c>
    </row>
    <row r="7" spans="1:20" ht="24" customHeight="1" x14ac:dyDescent="0.3">
      <c r="A7" s="25" t="s">
        <v>17</v>
      </c>
      <c r="B7" s="26">
        <v>2.5</v>
      </c>
      <c r="C7" s="27">
        <f>$B7*(1-B$32)</f>
        <v>1.0999999999999999</v>
      </c>
      <c r="D7" s="27">
        <f>$B7*(1-D$32)</f>
        <v>0.52499999999999991</v>
      </c>
      <c r="E7" s="27">
        <f>$B7*(1-C$32)</f>
        <v>1.5</v>
      </c>
      <c r="F7" s="28">
        <v>4.0000000000000001E-3</v>
      </c>
      <c r="G7" s="29">
        <v>0.35</v>
      </c>
      <c r="H7" s="30">
        <f>F7*(1-G7)</f>
        <v>2.6000000000000003E-3</v>
      </c>
      <c r="I7" s="31">
        <f>I6</f>
        <v>0.66292134831460681</v>
      </c>
      <c r="J7" s="32">
        <f t="shared" si="0"/>
        <v>1.8959550561797756E-3</v>
      </c>
      <c r="K7" s="32">
        <f t="shared" si="0"/>
        <v>9.0488764044943822E-4</v>
      </c>
      <c r="L7" s="32">
        <f t="shared" si="0"/>
        <v>2.585393258426967E-3</v>
      </c>
      <c r="M7" s="33">
        <f>M6</f>
        <v>10.628843275623735</v>
      </c>
      <c r="N7" s="34">
        <f t="shared" si="1"/>
        <v>9.9174071995454138</v>
      </c>
      <c r="O7" s="34">
        <f t="shared" si="1"/>
        <v>4.7333079816012189</v>
      </c>
      <c r="P7" s="34">
        <f t="shared" si="1"/>
        <v>13.523737090289201</v>
      </c>
      <c r="Q7" s="22">
        <f>(B$51+B$52)*(((B$58/H7-B$60)/C$61)/B$59)</f>
        <v>2.0123824319092661E-2</v>
      </c>
      <c r="R7" s="36">
        <f t="shared" si="2"/>
        <v>16.010941390086902</v>
      </c>
      <c r="S7" s="36">
        <f t="shared" si="2"/>
        <v>7.6415856634505666</v>
      </c>
      <c r="T7" s="37">
        <f t="shared" si="2"/>
        <v>21.833101895573051</v>
      </c>
    </row>
    <row r="8" spans="1:20" ht="24" customHeight="1" x14ac:dyDescent="0.3">
      <c r="A8" s="38" t="s">
        <v>18</v>
      </c>
      <c r="B8" s="39">
        <v>3</v>
      </c>
      <c r="C8" s="40">
        <f>$B8*(1-B$32)</f>
        <v>1.3199999999999998</v>
      </c>
      <c r="D8" s="40">
        <f>$B8*(1-D$32)</f>
        <v>0.62999999999999989</v>
      </c>
      <c r="E8" s="40">
        <f>$B8*(1-C$32)</f>
        <v>1.7999999999999998</v>
      </c>
      <c r="F8" s="41">
        <v>0.01</v>
      </c>
      <c r="G8" s="42">
        <v>0.5</v>
      </c>
      <c r="H8" s="43">
        <f>F8*(1-G8)</f>
        <v>5.0000000000000001E-3</v>
      </c>
      <c r="I8" s="42">
        <f>I7</f>
        <v>0.66292134831460681</v>
      </c>
      <c r="J8" s="44">
        <f t="shared" si="0"/>
        <v>4.3752808988764044E-3</v>
      </c>
      <c r="K8" s="44">
        <f t="shared" si="0"/>
        <v>2.0882022471910111E-3</v>
      </c>
      <c r="L8" s="44">
        <f t="shared" si="0"/>
        <v>5.9662921348314609E-3</v>
      </c>
      <c r="M8" s="45">
        <f>M7</f>
        <v>10.628843275623735</v>
      </c>
      <c r="N8" s="46">
        <f t="shared" si="1"/>
        <v>22.88632430664326</v>
      </c>
      <c r="O8" s="46">
        <f t="shared" si="1"/>
        <v>10.923018419079733</v>
      </c>
      <c r="P8" s="46">
        <f t="shared" si="1"/>
        <v>31.208624054513535</v>
      </c>
      <c r="Q8" s="113">
        <f>(B$51+B$52)*(((B$58/H8-B$60)/C$61)/B$59)</f>
        <v>9.8705798953880475E-3</v>
      </c>
      <c r="R8" s="48">
        <f t="shared" si="2"/>
        <v>18.122867741850044</v>
      </c>
      <c r="S8" s="48">
        <f t="shared" si="2"/>
        <v>8.6495505131557007</v>
      </c>
      <c r="T8" s="49">
        <f t="shared" si="2"/>
        <v>24.713001466159152</v>
      </c>
    </row>
    <row r="9" spans="1:20" ht="24" customHeight="1" x14ac:dyDescent="0.3">
      <c r="A9" s="5" t="s">
        <v>19</v>
      </c>
      <c r="B9" s="50"/>
      <c r="C9" s="51"/>
      <c r="D9" s="52"/>
      <c r="E9" s="53"/>
      <c r="G9" s="54"/>
      <c r="I9" s="9"/>
      <c r="J9" s="55"/>
      <c r="K9" s="55"/>
      <c r="L9" s="56"/>
      <c r="M9" s="57"/>
      <c r="N9" s="58"/>
      <c r="O9" s="58"/>
      <c r="P9" s="58"/>
      <c r="Q9" s="59"/>
      <c r="R9" s="37"/>
      <c r="S9" s="37"/>
      <c r="T9" s="37"/>
    </row>
    <row r="10" spans="1:20" ht="24" customHeight="1" x14ac:dyDescent="0.3">
      <c r="A10" s="12" t="s">
        <v>16</v>
      </c>
      <c r="B10" s="13">
        <v>2</v>
      </c>
      <c r="C10" s="14">
        <f>$B10*(1-B$33)</f>
        <v>1.3199999999999998</v>
      </c>
      <c r="D10" s="14">
        <f>$B10*(1-D$33)</f>
        <v>1.1000000000000001</v>
      </c>
      <c r="E10" s="14">
        <f>$B10*(1-C$33)</f>
        <v>1.48</v>
      </c>
      <c r="F10" s="15">
        <v>2E-3</v>
      </c>
      <c r="G10" s="16">
        <v>0.2</v>
      </c>
      <c r="H10" s="17">
        <f>F10*(1-G10)</f>
        <v>1.6000000000000001E-3</v>
      </c>
      <c r="I10" s="18">
        <f>I8</f>
        <v>0.66292134831460681</v>
      </c>
      <c r="J10" s="19">
        <f t="shared" ref="J10:L12" si="3">C10*$H10*$I10</f>
        <v>1.4000898876404494E-3</v>
      </c>
      <c r="K10" s="19">
        <f t="shared" si="3"/>
        <v>1.1667415730337082E-3</v>
      </c>
      <c r="L10" s="19">
        <f t="shared" si="3"/>
        <v>1.5697977528089889E-3</v>
      </c>
      <c r="M10" s="20">
        <f>M8</f>
        <v>10.628843275623735</v>
      </c>
      <c r="N10" s="21">
        <f t="shared" ref="N10:P12" si="4">J10*$M10*365*24/$B$52</f>
        <v>7.3236237781258424</v>
      </c>
      <c r="O10" s="21">
        <f t="shared" si="4"/>
        <v>6.1030198151048713</v>
      </c>
      <c r="P10" s="21">
        <f t="shared" si="4"/>
        <v>8.2113357512320064</v>
      </c>
      <c r="Q10" s="22">
        <f>Q6</f>
        <v>3.347440299579138E-2</v>
      </c>
      <c r="R10" s="23">
        <f t="shared" ref="R10:T12" si="5">60*N10*$Q10*($B$52+$B$51)/$B$52</f>
        <v>19.667405470710214</v>
      </c>
      <c r="S10" s="23">
        <f t="shared" si="5"/>
        <v>16.389504558925186</v>
      </c>
      <c r="T10" s="24">
        <f t="shared" si="5"/>
        <v>22.051333406553876</v>
      </c>
    </row>
    <row r="11" spans="1:20" ht="24" customHeight="1" x14ac:dyDescent="0.3">
      <c r="A11" s="25" t="s">
        <v>17</v>
      </c>
      <c r="B11" s="26">
        <v>2.5</v>
      </c>
      <c r="C11" s="27">
        <f>B11*(1-B$33)</f>
        <v>1.65</v>
      </c>
      <c r="D11" s="27">
        <f>$B11*(1-D$33)</f>
        <v>1.375</v>
      </c>
      <c r="E11" s="27">
        <f>$B11*(1-C$33)</f>
        <v>1.85</v>
      </c>
      <c r="F11" s="28">
        <v>4.0000000000000001E-3</v>
      </c>
      <c r="G11" s="29">
        <v>0.35</v>
      </c>
      <c r="H11" s="30">
        <f>F11*(1-G11)</f>
        <v>2.6000000000000003E-3</v>
      </c>
      <c r="I11" s="31">
        <f>I10</f>
        <v>0.66292134831460681</v>
      </c>
      <c r="J11" s="32">
        <f t="shared" si="3"/>
        <v>2.8439325842696634E-3</v>
      </c>
      <c r="K11" s="32">
        <f t="shared" si="3"/>
        <v>2.3699438202247195E-3</v>
      </c>
      <c r="L11" s="32">
        <f t="shared" si="3"/>
        <v>3.1886516853932593E-3</v>
      </c>
      <c r="M11" s="33">
        <f>M10</f>
        <v>10.628843275623735</v>
      </c>
      <c r="N11" s="34">
        <f t="shared" si="4"/>
        <v>14.87611079931812</v>
      </c>
      <c r="O11" s="34">
        <f t="shared" si="4"/>
        <v>12.396758999431768</v>
      </c>
      <c r="P11" s="34">
        <f t="shared" si="4"/>
        <v>16.679275744690013</v>
      </c>
      <c r="Q11" s="35">
        <f>Q7</f>
        <v>2.0123824319092661E-2</v>
      </c>
      <c r="R11" s="36">
        <f t="shared" si="5"/>
        <v>24.016412085130352</v>
      </c>
      <c r="S11" s="36">
        <f t="shared" si="5"/>
        <v>20.01367673760863</v>
      </c>
      <c r="T11" s="37">
        <f t="shared" si="5"/>
        <v>26.927492337873424</v>
      </c>
    </row>
    <row r="12" spans="1:20" ht="24" customHeight="1" x14ac:dyDescent="0.3">
      <c r="A12" s="38" t="s">
        <v>18</v>
      </c>
      <c r="B12" s="39">
        <v>3</v>
      </c>
      <c r="C12" s="40">
        <f>B12*(1-B$33)</f>
        <v>1.9799999999999998</v>
      </c>
      <c r="D12" s="40">
        <f>$B12*(1-D$33)</f>
        <v>1.6500000000000001</v>
      </c>
      <c r="E12" s="40">
        <f>$B12*(1-C$33)</f>
        <v>2.2199999999999998</v>
      </c>
      <c r="F12" s="41">
        <v>0.01</v>
      </c>
      <c r="G12" s="42">
        <v>0.5</v>
      </c>
      <c r="H12" s="43">
        <f>F12*(1-G12)</f>
        <v>5.0000000000000001E-3</v>
      </c>
      <c r="I12" s="42">
        <f>I11</f>
        <v>0.66292134831460681</v>
      </c>
      <c r="J12" s="44">
        <f t="shared" si="3"/>
        <v>6.5629213483146065E-3</v>
      </c>
      <c r="K12" s="44">
        <f t="shared" si="3"/>
        <v>5.4691011235955067E-3</v>
      </c>
      <c r="L12" s="44">
        <f t="shared" si="3"/>
        <v>7.3584269662921344E-3</v>
      </c>
      <c r="M12" s="45">
        <f>M11</f>
        <v>10.628843275623735</v>
      </c>
      <c r="N12" s="46">
        <f t="shared" si="4"/>
        <v>34.329486459964883</v>
      </c>
      <c r="O12" s="46">
        <f t="shared" si="4"/>
        <v>28.607905383304079</v>
      </c>
      <c r="P12" s="46">
        <f t="shared" si="4"/>
        <v>38.490636333900021</v>
      </c>
      <c r="Q12" s="47">
        <f>Q8</f>
        <v>9.8705798953880475E-3</v>
      </c>
      <c r="R12" s="48">
        <f t="shared" si="5"/>
        <v>27.184301612775062</v>
      </c>
      <c r="S12" s="48">
        <f t="shared" si="5"/>
        <v>22.653584677312558</v>
      </c>
      <c r="T12" s="49">
        <f t="shared" si="5"/>
        <v>30.479368474929615</v>
      </c>
    </row>
    <row r="13" spans="1:20" ht="24" customHeight="1" x14ac:dyDescent="0.3">
      <c r="A13" s="60" t="s">
        <v>20</v>
      </c>
      <c r="B13" s="61" t="str">
        <f>A16</f>
        <v>[A]</v>
      </c>
      <c r="C13" s="62" t="str">
        <f>A17</f>
        <v>[B]</v>
      </c>
      <c r="D13" s="62" t="str">
        <f>A18</f>
        <v>[C]</v>
      </c>
      <c r="E13" s="62" t="str">
        <f>A19</f>
        <v>[D]</v>
      </c>
      <c r="F13" s="63" t="str">
        <f>$A20</f>
        <v>[E]</v>
      </c>
      <c r="G13" s="63" t="str">
        <f>$A21</f>
        <v>[F]</v>
      </c>
      <c r="H13" s="64" t="str">
        <f>$A22</f>
        <v>[G]</v>
      </c>
      <c r="I13" s="65" t="str">
        <f>$A23</f>
        <v>[H]</v>
      </c>
      <c r="J13" s="130" t="str">
        <f>$A24</f>
        <v>[I]</v>
      </c>
      <c r="K13" s="131"/>
      <c r="L13" s="132"/>
      <c r="M13" s="66" t="str">
        <f>A25</f>
        <v>[J]</v>
      </c>
      <c r="N13" s="133" t="str">
        <f>$A26</f>
        <v>[K]</v>
      </c>
      <c r="O13" s="134"/>
      <c r="P13" s="135"/>
      <c r="Q13" s="66" t="str">
        <f>A27</f>
        <v>[L]</v>
      </c>
      <c r="R13" s="133" t="str">
        <f>$A28</f>
        <v>[M]</v>
      </c>
      <c r="S13" s="134"/>
      <c r="T13" s="135"/>
    </row>
    <row r="14" spans="1:20" ht="24" customHeight="1" x14ac:dyDescent="0.3">
      <c r="A14" s="67" t="s">
        <v>21</v>
      </c>
      <c r="B14" s="68"/>
      <c r="C14" s="69"/>
      <c r="D14" s="69"/>
      <c r="E14" s="69"/>
      <c r="H14" s="70"/>
      <c r="I14" s="51"/>
      <c r="J14" s="51"/>
      <c r="K14" s="51"/>
      <c r="L14" s="71"/>
      <c r="M14" s="11">
        <f>'[1]LLE and QALYs'!E23</f>
        <v>0</v>
      </c>
      <c r="N14" s="11">
        <f>J14*$M14*365</f>
        <v>0</v>
      </c>
      <c r="O14" s="72">
        <f>K14*$M14*365</f>
        <v>0</v>
      </c>
      <c r="P14" s="72">
        <f>L14*$M14*365</f>
        <v>0</v>
      </c>
      <c r="Q14" s="73"/>
      <c r="R14" s="71"/>
      <c r="S14" s="71"/>
      <c r="T14" s="71"/>
    </row>
    <row r="15" spans="1:20" ht="24" customHeight="1" x14ac:dyDescent="0.3">
      <c r="A15" s="74" t="s">
        <v>22</v>
      </c>
      <c r="B15" s="75"/>
      <c r="C15" s="75"/>
      <c r="D15" s="75"/>
      <c r="E15" s="75"/>
      <c r="F15" s="75"/>
      <c r="G15" s="75"/>
      <c r="H15" s="75"/>
      <c r="I15" s="75"/>
      <c r="J15" s="75"/>
      <c r="K15" s="75"/>
      <c r="L15" s="75"/>
      <c r="M15" s="75"/>
      <c r="N15" s="75"/>
      <c r="O15" s="75"/>
      <c r="P15" s="75"/>
      <c r="Q15" s="75"/>
      <c r="R15" s="75"/>
      <c r="S15" s="75"/>
      <c r="T15" s="75"/>
    </row>
    <row r="16" spans="1:20" ht="30" customHeight="1" x14ac:dyDescent="0.3">
      <c r="A16" s="76" t="s">
        <v>23</v>
      </c>
      <c r="B16" s="136" t="s">
        <v>24</v>
      </c>
      <c r="C16" s="136"/>
      <c r="D16" s="136"/>
      <c r="E16" s="136"/>
      <c r="F16" s="136"/>
      <c r="G16" s="136"/>
      <c r="H16" s="136"/>
      <c r="I16" s="136"/>
      <c r="J16" s="136"/>
      <c r="K16" s="136"/>
      <c r="L16" s="136"/>
      <c r="M16" s="136"/>
      <c r="N16" s="136"/>
      <c r="O16" s="136"/>
      <c r="P16" s="136"/>
      <c r="Q16" s="136"/>
      <c r="R16" s="136"/>
      <c r="S16" s="136"/>
      <c r="T16" s="136"/>
    </row>
    <row r="17" spans="1:20" s="78" customFormat="1" ht="18" customHeight="1" x14ac:dyDescent="0.3">
      <c r="A17" s="76" t="s">
        <v>25</v>
      </c>
      <c r="B17" s="77" t="s">
        <v>26</v>
      </c>
      <c r="C17" s="77"/>
      <c r="D17" s="77"/>
      <c r="E17" s="77"/>
      <c r="F17" s="77"/>
      <c r="G17" s="77"/>
      <c r="H17" s="77"/>
      <c r="I17" s="77"/>
      <c r="J17" s="77"/>
      <c r="K17" s="77"/>
      <c r="L17" s="77"/>
      <c r="M17" s="77"/>
    </row>
    <row r="18" spans="1:20" s="78" customFormat="1" ht="18" customHeight="1" x14ac:dyDescent="0.3">
      <c r="A18" s="76" t="s">
        <v>27</v>
      </c>
      <c r="B18" s="77" t="s">
        <v>28</v>
      </c>
      <c r="C18" s="77"/>
      <c r="D18" s="77"/>
      <c r="E18" s="77"/>
      <c r="F18" s="77"/>
      <c r="G18" s="77"/>
      <c r="H18" s="77"/>
      <c r="I18" s="77"/>
      <c r="J18" s="77"/>
      <c r="K18" s="77"/>
      <c r="L18" s="77"/>
      <c r="M18" s="77"/>
    </row>
    <row r="19" spans="1:20" s="78" customFormat="1" ht="18" customHeight="1" x14ac:dyDescent="0.3">
      <c r="A19" s="76" t="s">
        <v>29</v>
      </c>
      <c r="B19" s="77" t="s">
        <v>30</v>
      </c>
      <c r="C19" s="77"/>
      <c r="D19" s="77"/>
      <c r="E19" s="77"/>
      <c r="F19" s="77"/>
      <c r="G19" s="77"/>
      <c r="H19" s="77"/>
      <c r="I19" s="77"/>
      <c r="J19" s="77"/>
      <c r="K19" s="77"/>
      <c r="L19" s="77"/>
      <c r="M19" s="77"/>
    </row>
    <row r="20" spans="1:20" ht="45" customHeight="1" x14ac:dyDescent="0.3">
      <c r="A20" s="76" t="s">
        <v>31</v>
      </c>
      <c r="B20" s="136" t="s">
        <v>32</v>
      </c>
      <c r="C20" s="136"/>
      <c r="D20" s="136"/>
      <c r="E20" s="136"/>
      <c r="F20" s="136"/>
      <c r="G20" s="136"/>
      <c r="H20" s="136"/>
      <c r="I20" s="136"/>
      <c r="J20" s="136"/>
      <c r="K20" s="136"/>
      <c r="L20" s="136"/>
      <c r="M20" s="136"/>
      <c r="N20" s="136"/>
      <c r="O20" s="136"/>
      <c r="P20" s="136"/>
      <c r="Q20" s="136"/>
      <c r="R20" s="136"/>
      <c r="S20" s="136"/>
      <c r="T20" s="136"/>
    </row>
    <row r="21" spans="1:20" s="78" customFormat="1" ht="18" customHeight="1" x14ac:dyDescent="0.3">
      <c r="A21" s="76" t="s">
        <v>33</v>
      </c>
      <c r="B21" s="77" t="s">
        <v>34</v>
      </c>
      <c r="C21" s="77"/>
      <c r="D21" s="77"/>
      <c r="E21" s="77"/>
      <c r="F21" s="77"/>
      <c r="G21" s="77"/>
      <c r="H21" s="77"/>
      <c r="I21" s="77"/>
      <c r="J21" s="77"/>
      <c r="K21" s="77"/>
      <c r="L21" s="77"/>
      <c r="M21" s="77"/>
    </row>
    <row r="22" spans="1:20" s="78" customFormat="1" ht="18" customHeight="1" x14ac:dyDescent="0.3">
      <c r="A22" s="76" t="s">
        <v>35</v>
      </c>
      <c r="B22" s="77" t="s">
        <v>36</v>
      </c>
      <c r="C22" s="77"/>
      <c r="D22" s="77"/>
      <c r="E22" s="77"/>
      <c r="F22" s="77"/>
      <c r="G22" s="77"/>
      <c r="H22" s="77"/>
      <c r="I22" s="77"/>
      <c r="J22" s="77"/>
      <c r="K22" s="77"/>
      <c r="L22" s="77"/>
      <c r="M22" s="77"/>
    </row>
    <row r="23" spans="1:20" s="78" customFormat="1" ht="18" customHeight="1" x14ac:dyDescent="0.3">
      <c r="A23" s="76" t="s">
        <v>37</v>
      </c>
      <c r="B23" s="77" t="s">
        <v>38</v>
      </c>
      <c r="C23" s="77"/>
      <c r="D23" s="77"/>
      <c r="E23" s="77"/>
      <c r="F23" s="77"/>
      <c r="G23" s="77"/>
      <c r="H23" s="77"/>
      <c r="I23" s="77"/>
      <c r="J23" s="77"/>
      <c r="K23" s="77"/>
      <c r="L23" s="77"/>
      <c r="M23" s="77"/>
    </row>
    <row r="24" spans="1:20" s="78" customFormat="1" ht="18" customHeight="1" x14ac:dyDescent="0.3">
      <c r="A24" s="76" t="s">
        <v>39</v>
      </c>
      <c r="B24" s="77" t="s">
        <v>40</v>
      </c>
      <c r="C24" s="77"/>
      <c r="D24" s="77"/>
      <c r="E24" s="77"/>
      <c r="F24" s="77"/>
      <c r="G24" s="77"/>
      <c r="H24" s="77"/>
      <c r="I24" s="77"/>
      <c r="J24" s="77"/>
      <c r="K24" s="77"/>
      <c r="L24" s="77"/>
      <c r="M24" s="77"/>
    </row>
    <row r="25" spans="1:20" s="78" customFormat="1" ht="18" customHeight="1" x14ac:dyDescent="0.3">
      <c r="A25" s="76" t="s">
        <v>41</v>
      </c>
      <c r="B25" s="77" t="s">
        <v>42</v>
      </c>
      <c r="C25" s="77"/>
      <c r="D25" s="77"/>
      <c r="E25" s="77"/>
      <c r="F25" s="77"/>
      <c r="G25" s="77"/>
      <c r="H25" s="77"/>
      <c r="I25" s="77"/>
      <c r="J25" s="77"/>
      <c r="K25" s="77"/>
      <c r="L25" s="77"/>
      <c r="M25" s="77"/>
    </row>
    <row r="26" spans="1:20" s="78" customFormat="1" ht="18" customHeight="1" x14ac:dyDescent="0.3">
      <c r="A26" s="76" t="s">
        <v>43</v>
      </c>
      <c r="B26" s="77" t="s">
        <v>44</v>
      </c>
      <c r="C26" s="77"/>
      <c r="D26" s="77"/>
      <c r="E26" s="77"/>
      <c r="F26" s="77"/>
      <c r="G26" s="77"/>
      <c r="H26" s="77"/>
      <c r="I26" s="77"/>
      <c r="J26" s="77"/>
      <c r="K26" s="77"/>
      <c r="L26" s="77"/>
      <c r="M26" s="77"/>
    </row>
    <row r="27" spans="1:20" ht="60" customHeight="1" x14ac:dyDescent="0.3">
      <c r="A27" s="76" t="s">
        <v>45</v>
      </c>
      <c r="B27" s="136" t="s">
        <v>113</v>
      </c>
      <c r="C27" s="136"/>
      <c r="D27" s="136"/>
      <c r="E27" s="136"/>
      <c r="F27" s="136"/>
      <c r="G27" s="136"/>
      <c r="H27" s="136"/>
      <c r="I27" s="136"/>
      <c r="J27" s="136"/>
      <c r="K27" s="136"/>
      <c r="L27" s="136"/>
      <c r="M27" s="136"/>
      <c r="N27" s="136"/>
      <c r="O27" s="136"/>
      <c r="P27" s="136"/>
      <c r="Q27" s="136"/>
      <c r="R27" s="136"/>
      <c r="S27" s="136"/>
      <c r="T27" s="136"/>
    </row>
    <row r="28" spans="1:20" ht="30" customHeight="1" x14ac:dyDescent="0.3">
      <c r="A28" s="76" t="s">
        <v>46</v>
      </c>
      <c r="B28" s="136" t="s">
        <v>47</v>
      </c>
      <c r="C28" s="136"/>
      <c r="D28" s="136"/>
      <c r="E28" s="136"/>
      <c r="F28" s="136"/>
      <c r="G28" s="136"/>
      <c r="H28" s="136"/>
      <c r="I28" s="136"/>
      <c r="J28" s="136"/>
      <c r="K28" s="136"/>
      <c r="L28" s="136"/>
      <c r="M28" s="136"/>
      <c r="N28" s="136"/>
      <c r="O28" s="136"/>
      <c r="P28" s="136"/>
      <c r="Q28" s="136"/>
      <c r="R28" s="136"/>
      <c r="S28" s="136"/>
      <c r="T28" s="136"/>
    </row>
    <row r="29" spans="1:20" s="8" customFormat="1" ht="24" customHeight="1" x14ac:dyDescent="0.3">
      <c r="A29" s="79" t="s">
        <v>48</v>
      </c>
      <c r="B29" s="75"/>
      <c r="C29" s="75"/>
      <c r="D29" s="75"/>
      <c r="E29" s="75"/>
      <c r="F29" s="75"/>
      <c r="G29" s="75"/>
      <c r="H29" s="75"/>
      <c r="I29" s="75"/>
      <c r="J29" s="75"/>
      <c r="K29" s="75"/>
      <c r="L29" s="75"/>
      <c r="M29" s="75"/>
      <c r="N29" s="75"/>
      <c r="O29" s="75"/>
      <c r="P29" s="75"/>
      <c r="Q29" s="75"/>
      <c r="R29" s="75"/>
      <c r="S29" s="75"/>
      <c r="T29" s="75"/>
    </row>
    <row r="30" spans="1:20" ht="24" customHeight="1" x14ac:dyDescent="0.3">
      <c r="A30" s="80" t="s">
        <v>49</v>
      </c>
      <c r="B30" s="81" t="s">
        <v>50</v>
      </c>
      <c r="C30" s="82"/>
      <c r="D30" s="82"/>
      <c r="E30" s="82"/>
      <c r="F30" s="83"/>
      <c r="G30" s="83"/>
      <c r="H30" s="83"/>
      <c r="I30" s="83"/>
      <c r="J30" s="83"/>
      <c r="K30" s="83"/>
      <c r="L30" s="83"/>
      <c r="M30" s="83"/>
      <c r="N30" s="83"/>
      <c r="O30" s="83"/>
      <c r="P30" s="83"/>
      <c r="Q30" s="83"/>
      <c r="R30" s="83"/>
      <c r="S30" s="83"/>
      <c r="T30" s="84" t="s">
        <v>20</v>
      </c>
    </row>
    <row r="31" spans="1:20" ht="24" customHeight="1" x14ac:dyDescent="0.3">
      <c r="A31" s="80"/>
      <c r="B31" s="85" t="s">
        <v>12</v>
      </c>
      <c r="C31" s="85" t="s">
        <v>13</v>
      </c>
      <c r="D31" s="85" t="s">
        <v>14</v>
      </c>
      <c r="E31" s="86"/>
      <c r="T31" s="80"/>
    </row>
    <row r="32" spans="1:20" ht="18" customHeight="1" x14ac:dyDescent="0.3">
      <c r="B32" s="88">
        <v>0.56000000000000005</v>
      </c>
      <c r="C32" s="89">
        <v>0.4</v>
      </c>
      <c r="D32" s="88">
        <v>0.79</v>
      </c>
      <c r="E32" s="67" t="s">
        <v>51</v>
      </c>
      <c r="T32" s="87" t="s">
        <v>52</v>
      </c>
    </row>
    <row r="33" spans="1:20" ht="18" customHeight="1" x14ac:dyDescent="0.3">
      <c r="B33" s="90">
        <v>0.34</v>
      </c>
      <c r="C33" s="89">
        <v>0.26</v>
      </c>
      <c r="D33" s="88">
        <v>0.45</v>
      </c>
      <c r="E33" s="67" t="s">
        <v>53</v>
      </c>
      <c r="N33" s="8"/>
      <c r="O33" s="8"/>
      <c r="Q33" s="91"/>
      <c r="R33" s="91"/>
      <c r="S33" s="91"/>
      <c r="T33" s="92" t="s">
        <v>54</v>
      </c>
    </row>
    <row r="34" spans="1:20" ht="18" customHeight="1" x14ac:dyDescent="0.3">
      <c r="B34" s="93" t="str">
        <f>T32</f>
        <v>[P1a]</v>
      </c>
      <c r="C34" s="137" t="s">
        <v>55</v>
      </c>
      <c r="D34" s="137"/>
      <c r="E34" s="137"/>
      <c r="F34" s="137"/>
      <c r="G34" s="137"/>
      <c r="H34" s="137"/>
      <c r="I34" s="137"/>
      <c r="J34" s="137"/>
      <c r="K34" s="137"/>
      <c r="L34" s="137"/>
      <c r="M34" s="137"/>
      <c r="N34" s="137"/>
      <c r="O34" s="137"/>
      <c r="P34" s="137"/>
    </row>
    <row r="35" spans="1:20" ht="18" customHeight="1" x14ac:dyDescent="0.3">
      <c r="B35" s="93" t="str">
        <f>T33</f>
        <v>[P2a]</v>
      </c>
      <c r="C35" s="138" t="s">
        <v>56</v>
      </c>
      <c r="D35" s="138"/>
      <c r="E35" s="138"/>
      <c r="F35" s="138"/>
      <c r="G35" s="138"/>
      <c r="H35" s="138"/>
      <c r="I35" s="138"/>
      <c r="J35" s="138"/>
      <c r="K35" s="138"/>
      <c r="L35" s="138"/>
      <c r="M35" s="138"/>
      <c r="N35" s="138"/>
      <c r="O35" s="138"/>
      <c r="P35" s="138"/>
    </row>
    <row r="36" spans="1:20" ht="24" customHeight="1" x14ac:dyDescent="0.3">
      <c r="A36" s="80" t="s">
        <v>57</v>
      </c>
      <c r="B36" s="81" t="s">
        <v>58</v>
      </c>
      <c r="C36" s="82"/>
      <c r="D36" s="82"/>
      <c r="E36" s="82"/>
      <c r="F36" s="83"/>
      <c r="G36" s="83"/>
      <c r="H36" s="83"/>
      <c r="I36" s="83"/>
      <c r="J36" s="83"/>
      <c r="K36" s="83"/>
      <c r="L36" s="83"/>
      <c r="M36" s="83"/>
      <c r="N36" s="83"/>
      <c r="O36" s="83"/>
      <c r="P36" s="83"/>
      <c r="Q36" s="83"/>
      <c r="R36" s="83"/>
      <c r="S36" s="83"/>
      <c r="T36" s="83"/>
    </row>
    <row r="37" spans="1:20" ht="18" customHeight="1" x14ac:dyDescent="0.3">
      <c r="B37" s="139" t="s">
        <v>59</v>
      </c>
      <c r="C37" s="139"/>
      <c r="D37" s="94" t="s">
        <v>60</v>
      </c>
    </row>
    <row r="38" spans="1:20" ht="18" customHeight="1" x14ac:dyDescent="0.3">
      <c r="B38" s="95" t="s">
        <v>61</v>
      </c>
      <c r="D38" s="96">
        <f>'[1]Cases by Age Group'!B5</f>
        <v>1.4</v>
      </c>
    </row>
    <row r="39" spans="1:20" ht="18" customHeight="1" x14ac:dyDescent="0.3">
      <c r="B39" s="95" t="s">
        <v>62</v>
      </c>
      <c r="D39" s="96">
        <f>'[1]Cases by Age Group'!B6</f>
        <v>4.4000000000000004</v>
      </c>
    </row>
    <row r="40" spans="1:20" ht="18" customHeight="1" x14ac:dyDescent="0.3">
      <c r="B40" s="95" t="s">
        <v>63</v>
      </c>
      <c r="D40" s="96">
        <f>'[1]Cases by Age Group'!B7</f>
        <v>18.399999999999999</v>
      </c>
    </row>
    <row r="41" spans="1:20" ht="18" customHeight="1" x14ac:dyDescent="0.3">
      <c r="B41" s="95" t="s">
        <v>64</v>
      </c>
      <c r="D41" s="96">
        <f>'[1]Cases by Age Group'!B8</f>
        <v>16.7</v>
      </c>
    </row>
    <row r="42" spans="1:20" ht="18" customHeight="1" x14ac:dyDescent="0.3">
      <c r="B42" s="95" t="s">
        <v>65</v>
      </c>
      <c r="D42" s="96">
        <f>'[1]Cases by Age Group'!B9</f>
        <v>16.2</v>
      </c>
    </row>
    <row r="43" spans="1:20" ht="18" customHeight="1" x14ac:dyDescent="0.3">
      <c r="B43" s="95" t="s">
        <v>66</v>
      </c>
      <c r="D43" s="96">
        <f>'[1]Cases by Age Group'!B10</f>
        <v>23.6</v>
      </c>
    </row>
    <row r="44" spans="1:20" ht="18" customHeight="1" x14ac:dyDescent="0.3">
      <c r="B44" s="95" t="s">
        <v>67</v>
      </c>
      <c r="D44" s="97">
        <f>'[1]Cases by Age Group'!B11</f>
        <v>9</v>
      </c>
    </row>
    <row r="45" spans="1:20" ht="18" customHeight="1" x14ac:dyDescent="0.3">
      <c r="B45" s="95" t="s">
        <v>68</v>
      </c>
      <c r="D45" s="96">
        <f>'[1]Cases by Age Group'!B12</f>
        <v>5.6</v>
      </c>
    </row>
    <row r="46" spans="1:20" ht="18" customHeight="1" x14ac:dyDescent="0.3">
      <c r="B46" s="95" t="s">
        <v>69</v>
      </c>
      <c r="D46" s="96">
        <f>'[1]Cases by Age Group'!B13</f>
        <v>4.7</v>
      </c>
    </row>
    <row r="47" spans="1:20" ht="18" customHeight="1" x14ac:dyDescent="0.3">
      <c r="B47" s="95" t="s">
        <v>70</v>
      </c>
      <c r="D47" s="97">
        <f>SUM(D38:D46)</f>
        <v>99.999999999999986</v>
      </c>
      <c r="E47"/>
    </row>
    <row r="48" spans="1:20" ht="18" customHeight="1" x14ac:dyDescent="0.3">
      <c r="B48" s="140" t="s">
        <v>20</v>
      </c>
      <c r="C48" s="140"/>
      <c r="D48" s="98" t="s">
        <v>54</v>
      </c>
      <c r="E48" s="99"/>
      <c r="F48" s="83"/>
      <c r="G48" s="83"/>
      <c r="H48" s="83"/>
      <c r="I48" s="83"/>
      <c r="J48" s="83"/>
      <c r="K48" s="83"/>
      <c r="L48" s="83"/>
      <c r="M48" s="83"/>
      <c r="N48" s="83"/>
      <c r="O48" s="100"/>
      <c r="P48" s="100"/>
      <c r="Q48" s="100"/>
      <c r="R48" s="100"/>
      <c r="S48" s="100"/>
      <c r="T48" s="100"/>
    </row>
    <row r="49" spans="1:20" ht="60" customHeight="1" x14ac:dyDescent="0.3">
      <c r="B49" s="101" t="str">
        <f>D48</f>
        <v>[P2a]</v>
      </c>
      <c r="C49" s="137" t="s">
        <v>71</v>
      </c>
      <c r="D49" s="137"/>
      <c r="E49" s="137"/>
      <c r="F49" s="137"/>
      <c r="G49" s="137"/>
      <c r="H49" s="137"/>
      <c r="I49" s="137"/>
      <c r="J49" s="137"/>
      <c r="K49" s="137"/>
      <c r="L49" s="137"/>
      <c r="M49" s="137"/>
      <c r="N49" s="137"/>
      <c r="O49" s="137"/>
      <c r="P49" s="137"/>
      <c r="Q49" s="137"/>
      <c r="R49" s="137"/>
      <c r="S49" s="137"/>
      <c r="T49" s="137"/>
    </row>
    <row r="50" spans="1:20" ht="24" customHeight="1" x14ac:dyDescent="0.3">
      <c r="A50" s="80" t="s">
        <v>72</v>
      </c>
      <c r="B50" s="81" t="s">
        <v>73</v>
      </c>
      <c r="C50" s="82"/>
      <c r="D50" s="82"/>
      <c r="E50" s="82"/>
      <c r="F50" s="83"/>
      <c r="G50" s="83"/>
      <c r="H50" s="83"/>
      <c r="I50" s="83"/>
      <c r="J50" s="83"/>
      <c r="K50" s="83"/>
      <c r="L50" s="83"/>
      <c r="M50" s="83"/>
      <c r="N50" s="83"/>
      <c r="O50" s="83"/>
      <c r="P50" s="83"/>
      <c r="Q50" s="83"/>
      <c r="R50" s="83"/>
      <c r="S50" s="83"/>
      <c r="T50" s="84" t="s">
        <v>20</v>
      </c>
    </row>
    <row r="51" spans="1:20" ht="18" customHeight="1" x14ac:dyDescent="0.3">
      <c r="B51" s="97">
        <v>6</v>
      </c>
      <c r="C51" s="67" t="s">
        <v>74</v>
      </c>
      <c r="D51" s="97"/>
      <c r="E51"/>
      <c r="T51" s="87" t="s">
        <v>75</v>
      </c>
    </row>
    <row r="52" spans="1:20" ht="18" customHeight="1" x14ac:dyDescent="0.3">
      <c r="B52" s="97">
        <v>17.8</v>
      </c>
      <c r="C52" s="67" t="s">
        <v>76</v>
      </c>
      <c r="D52" s="97"/>
      <c r="E52"/>
      <c r="T52" s="87" t="s">
        <v>77</v>
      </c>
    </row>
    <row r="53" spans="1:20" ht="18" customHeight="1" x14ac:dyDescent="0.3">
      <c r="B53" s="102">
        <f>1-B51/B52</f>
        <v>0.66292134831460681</v>
      </c>
      <c r="C53" s="103" t="s">
        <v>78</v>
      </c>
      <c r="D53" s="104"/>
      <c r="E53" s="105"/>
      <c r="F53" s="106"/>
      <c r="G53" s="106"/>
      <c r="H53" s="106"/>
      <c r="I53" s="106"/>
      <c r="J53" s="106"/>
      <c r="K53" s="106"/>
      <c r="L53" s="106"/>
      <c r="M53" s="106"/>
      <c r="N53" s="91"/>
      <c r="O53" s="91"/>
      <c r="P53" s="91"/>
      <c r="Q53" s="91"/>
      <c r="R53" s="91"/>
      <c r="S53" s="91"/>
      <c r="T53" s="92" t="s">
        <v>79</v>
      </c>
    </row>
    <row r="54" spans="1:20" ht="18" customHeight="1" x14ac:dyDescent="0.3">
      <c r="B54" s="107" t="str">
        <f>T51</f>
        <v>[P3a]</v>
      </c>
      <c r="C54" s="77" t="s">
        <v>80</v>
      </c>
      <c r="D54" s="97"/>
      <c r="E54"/>
    </row>
    <row r="55" spans="1:20" ht="18" customHeight="1" x14ac:dyDescent="0.3">
      <c r="B55" s="107" t="str">
        <f>T52</f>
        <v>[P3b]</v>
      </c>
      <c r="C55" s="77" t="s">
        <v>81</v>
      </c>
      <c r="D55" s="97"/>
      <c r="E55"/>
    </row>
    <row r="56" spans="1:20" ht="18" customHeight="1" x14ac:dyDescent="0.3">
      <c r="B56" s="107" t="str">
        <f>T53</f>
        <v>[P3c]</v>
      </c>
      <c r="C56" s="77" t="s">
        <v>82</v>
      </c>
      <c r="D56" s="97"/>
      <c r="E56"/>
    </row>
    <row r="57" spans="1:20" ht="24" customHeight="1" x14ac:dyDescent="0.3">
      <c r="A57" s="80" t="s">
        <v>83</v>
      </c>
      <c r="B57" s="81" t="s">
        <v>84</v>
      </c>
      <c r="C57" s="82"/>
      <c r="D57" s="82"/>
      <c r="E57" s="82"/>
      <c r="F57" s="83"/>
      <c r="G57" s="83"/>
      <c r="H57" s="83"/>
      <c r="I57" s="83"/>
      <c r="J57" s="83"/>
      <c r="K57" s="83"/>
      <c r="L57" s="83"/>
      <c r="M57" s="83"/>
      <c r="N57" s="83"/>
      <c r="O57" s="83"/>
      <c r="P57" s="83"/>
      <c r="Q57" s="83"/>
      <c r="R57" s="83"/>
      <c r="S57" s="83"/>
      <c r="T57" s="84" t="s">
        <v>20</v>
      </c>
    </row>
    <row r="58" spans="1:20" ht="18" customHeight="1" x14ac:dyDescent="0.3">
      <c r="B58" s="141">
        <v>129576</v>
      </c>
      <c r="C58" s="142"/>
      <c r="D58" s="67" t="s">
        <v>85</v>
      </c>
      <c r="T58" s="87" t="s">
        <v>86</v>
      </c>
    </row>
    <row r="59" spans="1:20" ht="18" customHeight="1" x14ac:dyDescent="0.3">
      <c r="B59" s="143">
        <v>334503000</v>
      </c>
      <c r="C59" s="143"/>
      <c r="D59" s="1" t="s">
        <v>87</v>
      </c>
      <c r="E59"/>
      <c r="T59" s="87" t="s">
        <v>88</v>
      </c>
    </row>
    <row r="60" spans="1:20" ht="18" customHeight="1" x14ac:dyDescent="0.3">
      <c r="B60" s="143">
        <v>2886267</v>
      </c>
      <c r="C60" s="143"/>
      <c r="D60" s="67" t="s">
        <v>112</v>
      </c>
      <c r="E60"/>
      <c r="T60" s="87" t="s">
        <v>114</v>
      </c>
    </row>
    <row r="61" spans="1:20" ht="18" customHeight="1" x14ac:dyDescent="0.3">
      <c r="B61" s="108"/>
      <c r="C61" s="108">
        <v>166</v>
      </c>
      <c r="D61" s="91" t="s">
        <v>89</v>
      </c>
      <c r="E61" s="105"/>
      <c r="F61" s="106"/>
      <c r="G61" s="106"/>
      <c r="H61" s="106"/>
      <c r="I61" s="106"/>
      <c r="J61" s="106"/>
      <c r="K61" s="106"/>
      <c r="L61" s="106"/>
      <c r="M61" s="106"/>
      <c r="N61" s="91"/>
      <c r="O61" s="91"/>
      <c r="P61" s="91"/>
      <c r="Q61" s="91"/>
      <c r="R61" s="91"/>
      <c r="S61" s="91"/>
      <c r="T61" s="91"/>
    </row>
    <row r="62" spans="1:20" ht="60" customHeight="1" x14ac:dyDescent="0.3">
      <c r="B62" s="109" t="str">
        <f>T58</f>
        <v>[P4a]</v>
      </c>
      <c r="C62" s="144" t="s">
        <v>90</v>
      </c>
      <c r="D62" s="144"/>
      <c r="E62" s="144"/>
      <c r="F62" s="144"/>
      <c r="G62" s="144"/>
      <c r="H62" s="144"/>
      <c r="I62" s="144"/>
      <c r="J62" s="144"/>
      <c r="K62" s="144"/>
      <c r="L62" s="144"/>
      <c r="M62" s="144"/>
      <c r="N62" s="144"/>
      <c r="O62" s="144"/>
      <c r="P62" s="144"/>
      <c r="Q62" s="144"/>
      <c r="R62" s="144"/>
      <c r="S62" s="144"/>
      <c r="T62" s="144"/>
    </row>
    <row r="63" spans="1:20" ht="18" customHeight="1" x14ac:dyDescent="0.3">
      <c r="B63" s="109" t="str">
        <f>T59</f>
        <v>[P4b]</v>
      </c>
      <c r="C63" s="77" t="s">
        <v>91</v>
      </c>
      <c r="D63" s="77"/>
      <c r="E63"/>
    </row>
    <row r="64" spans="1:20" ht="75" customHeight="1" x14ac:dyDescent="0.3">
      <c r="B64" s="109" t="str">
        <f>T60</f>
        <v>[P4c]</v>
      </c>
      <c r="C64" s="144" t="s">
        <v>115</v>
      </c>
      <c r="D64" s="144"/>
      <c r="E64" s="144"/>
      <c r="F64" s="144"/>
      <c r="G64" s="144"/>
      <c r="H64" s="144"/>
      <c r="I64" s="144"/>
      <c r="J64" s="144"/>
      <c r="K64" s="144"/>
      <c r="L64" s="144"/>
      <c r="M64" s="144"/>
      <c r="N64" s="144"/>
      <c r="O64" s="144"/>
      <c r="P64" s="144"/>
      <c r="Q64" s="144"/>
      <c r="R64" s="144"/>
      <c r="S64" s="144"/>
      <c r="T64" s="144"/>
    </row>
    <row r="65" spans="1:20" s="8" customFormat="1" ht="24" customHeight="1" x14ac:dyDescent="0.3">
      <c r="A65" s="79" t="s">
        <v>92</v>
      </c>
      <c r="B65" s="75"/>
      <c r="C65" s="75"/>
      <c r="D65" s="75"/>
      <c r="E65" s="75"/>
      <c r="F65" s="75"/>
      <c r="G65" s="75"/>
      <c r="H65" s="75"/>
      <c r="I65" s="75"/>
      <c r="J65" s="75"/>
      <c r="K65" s="75"/>
      <c r="L65" s="75"/>
      <c r="M65" s="75"/>
      <c r="N65" s="75"/>
      <c r="O65" s="75"/>
      <c r="P65" s="75"/>
      <c r="Q65" s="75"/>
      <c r="R65" s="75"/>
      <c r="S65" s="75"/>
      <c r="T65" s="75"/>
    </row>
    <row r="66" spans="1:20" s="8" customFormat="1" ht="30" customHeight="1" x14ac:dyDescent="0.3">
      <c r="A66" s="76" t="s">
        <v>93</v>
      </c>
      <c r="B66" s="145" t="s">
        <v>94</v>
      </c>
      <c r="C66" s="145"/>
      <c r="D66" s="145"/>
      <c r="E66" s="145"/>
      <c r="F66" s="145"/>
      <c r="G66" s="145"/>
      <c r="H66" s="145"/>
      <c r="I66" s="145"/>
      <c r="J66" s="145"/>
      <c r="K66" s="145"/>
      <c r="L66" s="145"/>
      <c r="M66" s="145"/>
      <c r="N66" s="145"/>
      <c r="O66" s="145"/>
      <c r="P66" s="145"/>
      <c r="Q66" s="145"/>
      <c r="R66" s="145"/>
      <c r="S66" s="145"/>
      <c r="T66" s="145"/>
    </row>
    <row r="67" spans="1:20" s="8" customFormat="1" ht="30" customHeight="1" x14ac:dyDescent="0.3">
      <c r="A67" s="76" t="s">
        <v>95</v>
      </c>
      <c r="B67" s="145" t="s">
        <v>96</v>
      </c>
      <c r="C67" s="145"/>
      <c r="D67" s="145"/>
      <c r="E67" s="145"/>
      <c r="F67" s="145"/>
      <c r="G67" s="145"/>
      <c r="H67" s="145"/>
      <c r="I67" s="145"/>
      <c r="J67" s="145"/>
      <c r="K67" s="145"/>
      <c r="L67" s="145"/>
      <c r="M67" s="145"/>
      <c r="N67" s="145"/>
      <c r="O67" s="145"/>
      <c r="P67" s="145"/>
      <c r="Q67" s="145"/>
      <c r="R67" s="145"/>
      <c r="S67" s="145"/>
      <c r="T67" s="145"/>
    </row>
    <row r="68" spans="1:20" s="8" customFormat="1" ht="18" customHeight="1" x14ac:dyDescent="0.3">
      <c r="A68" s="76" t="s">
        <v>97</v>
      </c>
      <c r="B68" s="110" t="s">
        <v>98</v>
      </c>
      <c r="C68" s="111"/>
      <c r="D68" s="111"/>
    </row>
    <row r="69" spans="1:20" s="8" customFormat="1" ht="18" customHeight="1" x14ac:dyDescent="0.3">
      <c r="A69" s="76" t="s">
        <v>99</v>
      </c>
      <c r="B69" s="110" t="s">
        <v>100</v>
      </c>
      <c r="C69" s="111"/>
      <c r="D69" s="111"/>
    </row>
    <row r="70" spans="1:20" s="8" customFormat="1" ht="30" customHeight="1" x14ac:dyDescent="0.3">
      <c r="A70" s="76" t="s">
        <v>101</v>
      </c>
      <c r="B70" s="145" t="s">
        <v>102</v>
      </c>
      <c r="C70" s="145"/>
      <c r="D70" s="145"/>
      <c r="E70" s="145"/>
      <c r="F70" s="145"/>
      <c r="G70" s="145"/>
      <c r="H70" s="145"/>
      <c r="I70" s="145"/>
      <c r="J70" s="145"/>
      <c r="K70" s="145"/>
      <c r="L70" s="145"/>
      <c r="M70" s="145"/>
      <c r="N70" s="145"/>
      <c r="O70" s="145"/>
      <c r="P70" s="145"/>
      <c r="Q70" s="145"/>
      <c r="R70" s="145"/>
      <c r="S70" s="145"/>
      <c r="T70" s="145"/>
    </row>
    <row r="71" spans="1:20" s="8" customFormat="1" ht="30" customHeight="1" x14ac:dyDescent="0.3">
      <c r="A71" s="76" t="s">
        <v>103</v>
      </c>
      <c r="B71" s="145" t="s">
        <v>104</v>
      </c>
      <c r="C71" s="145"/>
      <c r="D71" s="145"/>
      <c r="E71" s="145"/>
      <c r="F71" s="145"/>
      <c r="G71" s="145"/>
      <c r="H71" s="145"/>
      <c r="I71" s="145"/>
      <c r="J71" s="145"/>
      <c r="K71" s="145"/>
      <c r="L71" s="145"/>
      <c r="M71" s="145"/>
      <c r="N71" s="145"/>
      <c r="O71" s="145"/>
      <c r="P71" s="145"/>
      <c r="Q71" s="145"/>
      <c r="R71" s="145"/>
      <c r="S71" s="145"/>
      <c r="T71" s="145"/>
    </row>
    <row r="72" spans="1:20" s="8" customFormat="1" ht="30" customHeight="1" x14ac:dyDescent="0.3">
      <c r="A72" s="76" t="s">
        <v>105</v>
      </c>
      <c r="B72" s="145" t="s">
        <v>106</v>
      </c>
      <c r="C72" s="145"/>
      <c r="D72" s="145"/>
      <c r="E72" s="145"/>
      <c r="F72" s="145"/>
      <c r="G72" s="145"/>
      <c r="H72" s="145"/>
      <c r="I72" s="145"/>
      <c r="J72" s="145"/>
      <c r="K72" s="145"/>
      <c r="L72" s="145"/>
      <c r="M72" s="145"/>
      <c r="N72" s="145"/>
      <c r="O72" s="145"/>
      <c r="P72" s="145"/>
      <c r="Q72" s="145"/>
      <c r="R72" s="145"/>
      <c r="S72" s="145"/>
      <c r="T72" s="145"/>
    </row>
    <row r="73" spans="1:20" s="8" customFormat="1" ht="30" customHeight="1" x14ac:dyDescent="0.3">
      <c r="A73" s="76" t="s">
        <v>107</v>
      </c>
      <c r="B73" s="145" t="s">
        <v>108</v>
      </c>
      <c r="C73" s="145"/>
      <c r="D73" s="145"/>
      <c r="E73" s="145"/>
      <c r="F73" s="145"/>
      <c r="G73" s="145"/>
      <c r="H73" s="145"/>
      <c r="I73" s="145"/>
      <c r="J73" s="145"/>
      <c r="K73" s="145"/>
      <c r="L73" s="145"/>
      <c r="M73" s="145"/>
      <c r="N73" s="145"/>
      <c r="O73" s="145"/>
      <c r="P73" s="145"/>
      <c r="Q73" s="145"/>
      <c r="R73" s="145"/>
      <c r="S73" s="145"/>
      <c r="T73" s="145"/>
    </row>
    <row r="74" spans="1:20" s="8" customFormat="1" ht="30" customHeight="1" x14ac:dyDescent="0.3">
      <c r="A74" s="76" t="s">
        <v>109</v>
      </c>
      <c r="B74" s="145" t="s">
        <v>110</v>
      </c>
      <c r="C74" s="145"/>
      <c r="D74" s="145"/>
      <c r="E74" s="145"/>
      <c r="F74" s="145"/>
      <c r="G74" s="145"/>
      <c r="H74" s="145"/>
      <c r="I74" s="145"/>
      <c r="J74" s="145"/>
      <c r="K74" s="145"/>
      <c r="L74" s="145"/>
      <c r="M74" s="145"/>
      <c r="N74" s="145"/>
      <c r="O74" s="145"/>
      <c r="P74" s="145"/>
      <c r="Q74" s="145"/>
      <c r="R74" s="145"/>
      <c r="S74" s="145"/>
      <c r="T74" s="145"/>
    </row>
    <row r="75" spans="1:20" ht="24" customHeight="1" x14ac:dyDescent="0.3">
      <c r="A75" s="112"/>
    </row>
    <row r="77" spans="1:20" ht="24" customHeight="1" x14ac:dyDescent="0.3"/>
  </sheetData>
  <mergeCells count="38">
    <mergeCell ref="B72:T72"/>
    <mergeCell ref="B73:T73"/>
    <mergeCell ref="B74:T74"/>
    <mergeCell ref="C62:T62"/>
    <mergeCell ref="C64:T64"/>
    <mergeCell ref="B66:T66"/>
    <mergeCell ref="B67:T67"/>
    <mergeCell ref="B70:T70"/>
    <mergeCell ref="B71:T71"/>
    <mergeCell ref="J13:L13"/>
    <mergeCell ref="N13:P13"/>
    <mergeCell ref="R13:T13"/>
    <mergeCell ref="B60:C60"/>
    <mergeCell ref="B16:T16"/>
    <mergeCell ref="B20:T20"/>
    <mergeCell ref="B27:T27"/>
    <mergeCell ref="B28:T28"/>
    <mergeCell ref="C34:P34"/>
    <mergeCell ref="C35:P35"/>
    <mergeCell ref="B37:C37"/>
    <mergeCell ref="B48:C48"/>
    <mergeCell ref="C49:T49"/>
    <mergeCell ref="B58:C58"/>
    <mergeCell ref="B59:C59"/>
    <mergeCell ref="A1:T1"/>
    <mergeCell ref="A2:T2"/>
    <mergeCell ref="A3:A4"/>
    <mergeCell ref="B3:B4"/>
    <mergeCell ref="C3:E3"/>
    <mergeCell ref="F3:F4"/>
    <mergeCell ref="G3:G4"/>
    <mergeCell ref="H3:H4"/>
    <mergeCell ref="I3:I4"/>
    <mergeCell ref="J3:L3"/>
    <mergeCell ref="M3:M4"/>
    <mergeCell ref="N3:P3"/>
    <mergeCell ref="Q3:Q4"/>
    <mergeCell ref="R3:T3"/>
  </mergeCells>
  <conditionalFormatting sqref="E9 N6:P9">
    <cfRule type="expression" dxfId="107" priority="45">
      <formula>#REF!="Yes"</formula>
    </cfRule>
    <cfRule type="expression" dxfId="106" priority="46">
      <formula>$A6=1</formula>
    </cfRule>
  </conditionalFormatting>
  <conditionalFormatting sqref="A6:A7 J6 J9">
    <cfRule type="expression" dxfId="105" priority="43">
      <formula>#REF!="Yes"</formula>
    </cfRule>
    <cfRule type="expression" dxfId="104" priority="44">
      <formula>$A6=1</formula>
    </cfRule>
  </conditionalFormatting>
  <conditionalFormatting sqref="D9">
    <cfRule type="expression" dxfId="103" priority="41">
      <formula>#REF!="Yes"</formula>
    </cfRule>
    <cfRule type="expression" dxfId="102" priority="42">
      <formula>$A9=1</formula>
    </cfRule>
  </conditionalFormatting>
  <conditionalFormatting sqref="A8">
    <cfRule type="expression" dxfId="101" priority="39">
      <formula>#REF!="Yes"</formula>
    </cfRule>
    <cfRule type="expression" dxfId="100" priority="40">
      <formula>$A8=1</formula>
    </cfRule>
  </conditionalFormatting>
  <conditionalFormatting sqref="B8">
    <cfRule type="expression" dxfId="99" priority="35">
      <formula>#REF!="Yes"</formula>
    </cfRule>
    <cfRule type="expression" dxfId="98" priority="36">
      <formula>$A8=1</formula>
    </cfRule>
  </conditionalFormatting>
  <conditionalFormatting sqref="B6:B7">
    <cfRule type="expression" dxfId="97" priority="37">
      <formula>#REF!="Yes"</formula>
    </cfRule>
    <cfRule type="expression" dxfId="96" priority="38">
      <formula>$A6=1</formula>
    </cfRule>
  </conditionalFormatting>
  <conditionalFormatting sqref="M6:M9">
    <cfRule type="expression" dxfId="95" priority="33">
      <formula>#REF!="Yes"</formula>
    </cfRule>
    <cfRule type="expression" dxfId="94" priority="34">
      <formula>$A6=1</formula>
    </cfRule>
  </conditionalFormatting>
  <conditionalFormatting sqref="K9:L9">
    <cfRule type="expression" dxfId="93" priority="31">
      <formula>#REF!="Yes"</formula>
    </cfRule>
    <cfRule type="expression" dxfId="92" priority="32">
      <formula>$A9=1</formula>
    </cfRule>
  </conditionalFormatting>
  <conditionalFormatting sqref="A12">
    <cfRule type="expression" dxfId="91" priority="15">
      <formula>#REF!="Yes"</formula>
    </cfRule>
    <cfRule type="expression" dxfId="90" priority="16">
      <formula>$A12=1</formula>
    </cfRule>
  </conditionalFormatting>
  <conditionalFormatting sqref="M10:M12">
    <cfRule type="expression" dxfId="89" priority="13">
      <formula>#REF!="Yes"</formula>
    </cfRule>
    <cfRule type="expression" dxfId="88" priority="14">
      <formula>$A10=1</formula>
    </cfRule>
  </conditionalFormatting>
  <conditionalFormatting sqref="K6:L6">
    <cfRule type="expression" dxfId="87" priority="29">
      <formula>#REF!="Yes"</formula>
    </cfRule>
    <cfRule type="expression" dxfId="86" priority="30">
      <formula>$A6=1</formula>
    </cfRule>
  </conditionalFormatting>
  <conditionalFormatting sqref="J7:J8">
    <cfRule type="expression" dxfId="85" priority="27">
      <formula>#REF!="Yes"</formula>
    </cfRule>
    <cfRule type="expression" dxfId="84" priority="28">
      <formula>$A7=1</formula>
    </cfRule>
  </conditionalFormatting>
  <conditionalFormatting sqref="K7:L8">
    <cfRule type="expression" dxfId="83" priority="25">
      <formula>#REF!="Yes"</formula>
    </cfRule>
    <cfRule type="expression" dxfId="82" priority="26">
      <formula>$A7=1</formula>
    </cfRule>
  </conditionalFormatting>
  <conditionalFormatting sqref="J11:J12">
    <cfRule type="expression" dxfId="81" priority="9">
      <formula>#REF!="Yes"</formula>
    </cfRule>
    <cfRule type="expression" dxfId="80" priority="10">
      <formula>$A11=1</formula>
    </cfRule>
  </conditionalFormatting>
  <conditionalFormatting sqref="K11:L12">
    <cfRule type="expression" dxfId="79" priority="7">
      <formula>#REF!="Yes"</formula>
    </cfRule>
    <cfRule type="expression" dxfId="78" priority="8">
      <formula>$A11=1</formula>
    </cfRule>
  </conditionalFormatting>
  <conditionalFormatting sqref="B58">
    <cfRule type="expression" dxfId="77" priority="23">
      <formula>#REF!="Yes"</formula>
    </cfRule>
    <cfRule type="expression" dxfId="76" priority="24">
      <formula>$A58=1</formula>
    </cfRule>
  </conditionalFormatting>
  <conditionalFormatting sqref="R6:T9">
    <cfRule type="expression" dxfId="75" priority="21">
      <formula>#REF!="Yes"</formula>
    </cfRule>
    <cfRule type="expression" dxfId="74" priority="22">
      <formula>$A6=1</formula>
    </cfRule>
  </conditionalFormatting>
  <conditionalFormatting sqref="N10:P12">
    <cfRule type="expression" dxfId="73" priority="19">
      <formula>#REF!="Yes"</formula>
    </cfRule>
    <cfRule type="expression" dxfId="72" priority="20">
      <formula>$A10=1</formula>
    </cfRule>
  </conditionalFormatting>
  <conditionalFormatting sqref="A10:A11 J10">
    <cfRule type="expression" dxfId="71" priority="17">
      <formula>#REF!="Yes"</formula>
    </cfRule>
    <cfRule type="expression" dxfId="70" priority="18">
      <formula>$A10=1</formula>
    </cfRule>
  </conditionalFormatting>
  <conditionalFormatting sqref="K10:L10">
    <cfRule type="expression" dxfId="69" priority="11">
      <formula>#REF!="Yes"</formula>
    </cfRule>
    <cfRule type="expression" dxfId="68" priority="12">
      <formula>$A10=1</formula>
    </cfRule>
  </conditionalFormatting>
  <conditionalFormatting sqref="R10:T12">
    <cfRule type="expression" dxfId="67" priority="5">
      <formula>#REF!="Yes"</formula>
    </cfRule>
    <cfRule type="expression" dxfId="66" priority="6">
      <formula>$A10=1</formula>
    </cfRule>
  </conditionalFormatting>
  <conditionalFormatting sqref="B12">
    <cfRule type="expression" dxfId="65" priority="1">
      <formula>#REF!="Yes"</formula>
    </cfRule>
    <cfRule type="expression" dxfId="64" priority="2">
      <formula>$A12=1</formula>
    </cfRule>
  </conditionalFormatting>
  <conditionalFormatting sqref="B10:B11">
    <cfRule type="expression" dxfId="63" priority="3">
      <formula>#REF!="Yes"</formula>
    </cfRule>
    <cfRule type="expression" dxfId="62" priority="4">
      <formula>$A10=1</formula>
    </cfRule>
  </conditionalFormatting>
  <pageMargins left="0.7" right="0.7" top="0.75" bottom="0.75" header="0.3" footer="0.3"/>
  <pageSetup orientation="portrait"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47" id="{8FB528FE-FAA2-4727-8F3D-F618C4A4440F}">
            <x14:iconSet showValue="0" custom="1">
              <x14:cfvo type="percent">
                <xm:f>0</xm:f>
              </x14:cfvo>
              <x14:cfvo type="num">
                <xm:f>-1</xm:f>
              </x14:cfvo>
              <x14:cfvo type="num">
                <xm:f>1</xm:f>
              </x14:cfvo>
              <x14:cfIcon iconSet="NoIcons" iconId="0"/>
              <x14:cfIcon iconSet="NoIcons" iconId="0"/>
              <x14:cfIcon iconSet="3Flags" iconId="0"/>
            </x14:iconSet>
          </x14:cfRule>
          <xm:sqref>A13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0E09-7003-4B95-80A2-D417C8466F38}">
  <dimension ref="A1:T79"/>
  <sheetViews>
    <sheetView workbookViewId="0">
      <selection activeCell="O7" sqref="O7"/>
    </sheetView>
  </sheetViews>
  <sheetFormatPr defaultColWidth="10.77734375" defaultRowHeight="13.8" x14ac:dyDescent="0.3"/>
  <cols>
    <col min="1" max="1" width="9.33203125" style="87" customWidth="1"/>
    <col min="2" max="5" width="8.109375" style="8" customWidth="1"/>
    <col min="6" max="9" width="10.5546875" style="8" customWidth="1"/>
    <col min="10" max="10" width="8.109375" style="8" customWidth="1"/>
    <col min="11" max="11" width="9.77734375" style="8" customWidth="1"/>
    <col min="12" max="12" width="8.109375" style="8" customWidth="1"/>
    <col min="13" max="13" width="10.5546875" style="8" customWidth="1"/>
    <col min="14" max="14" width="8.109375" style="1" customWidth="1"/>
    <col min="15" max="15" width="9.77734375" style="1" customWidth="1"/>
    <col min="16" max="16" width="8.109375" style="1" customWidth="1"/>
    <col min="17" max="17" width="11" style="1" customWidth="1"/>
    <col min="18" max="18" width="8.109375" style="1" customWidth="1"/>
    <col min="19" max="19" width="10.77734375" style="1"/>
    <col min="20" max="20" width="16" style="1" bestFit="1" customWidth="1"/>
    <col min="21" max="16384" width="10.77734375" style="1"/>
  </cols>
  <sheetData>
    <row r="1" spans="1:20" ht="60" customHeight="1" x14ac:dyDescent="0.3">
      <c r="A1" s="146" t="s">
        <v>390</v>
      </c>
      <c r="B1" s="146"/>
      <c r="C1" s="146"/>
      <c r="D1" s="146"/>
      <c r="E1" s="146"/>
      <c r="F1" s="146"/>
      <c r="G1" s="146"/>
      <c r="H1" s="146"/>
      <c r="I1" s="146"/>
      <c r="J1" s="146"/>
      <c r="K1" s="146"/>
      <c r="L1" s="146"/>
      <c r="M1" s="146"/>
      <c r="N1" s="146"/>
      <c r="O1" s="146"/>
      <c r="P1" s="146"/>
      <c r="Q1" s="146"/>
      <c r="R1" s="146"/>
      <c r="S1" s="146"/>
      <c r="T1" s="146"/>
    </row>
    <row r="2" spans="1:20" ht="24" customHeight="1" x14ac:dyDescent="0.3">
      <c r="A2" s="122" t="s">
        <v>0</v>
      </c>
      <c r="B2" s="122"/>
      <c r="C2" s="122"/>
      <c r="D2" s="122"/>
      <c r="E2" s="122"/>
      <c r="F2" s="122"/>
      <c r="G2" s="122"/>
      <c r="H2" s="122"/>
      <c r="I2" s="122"/>
      <c r="J2" s="122"/>
      <c r="K2" s="122"/>
      <c r="L2" s="122"/>
      <c r="M2" s="122"/>
      <c r="N2" s="122"/>
      <c r="O2" s="122"/>
      <c r="P2" s="122"/>
      <c r="Q2" s="122"/>
      <c r="R2" s="122"/>
    </row>
    <row r="3" spans="1:20" ht="60" customHeight="1" x14ac:dyDescent="0.3">
      <c r="A3" s="123" t="s">
        <v>1</v>
      </c>
      <c r="B3" s="125" t="s">
        <v>2</v>
      </c>
      <c r="C3" s="127" t="s">
        <v>3</v>
      </c>
      <c r="D3" s="128"/>
      <c r="E3" s="129"/>
      <c r="F3" s="125" t="s">
        <v>118</v>
      </c>
      <c r="G3" s="125" t="s">
        <v>7</v>
      </c>
      <c r="H3" s="127" t="s">
        <v>8</v>
      </c>
      <c r="I3" s="128"/>
      <c r="J3" s="129"/>
      <c r="K3" s="125" t="s">
        <v>9</v>
      </c>
      <c r="L3" s="127" t="s">
        <v>10</v>
      </c>
      <c r="M3" s="128"/>
      <c r="N3" s="129"/>
      <c r="O3" s="125" t="s">
        <v>111</v>
      </c>
      <c r="P3" s="128" t="s">
        <v>11</v>
      </c>
      <c r="Q3" s="128"/>
      <c r="R3" s="128"/>
    </row>
    <row r="4" spans="1:20" ht="30" customHeight="1" x14ac:dyDescent="0.3">
      <c r="A4" s="124"/>
      <c r="B4" s="126"/>
      <c r="C4" s="116" t="s">
        <v>12</v>
      </c>
      <c r="D4" s="116" t="s">
        <v>13</v>
      </c>
      <c r="E4" s="119" t="s">
        <v>14</v>
      </c>
      <c r="F4" s="126"/>
      <c r="G4" s="126"/>
      <c r="H4" s="116" t="s">
        <v>17</v>
      </c>
      <c r="I4" s="116" t="s">
        <v>13</v>
      </c>
      <c r="J4" s="119" t="s">
        <v>14</v>
      </c>
      <c r="K4" s="126"/>
      <c r="L4" s="116" t="s">
        <v>12</v>
      </c>
      <c r="M4" s="116" t="s">
        <v>13</v>
      </c>
      <c r="N4" s="119" t="s">
        <v>14</v>
      </c>
      <c r="O4" s="126"/>
      <c r="P4" s="116" t="s">
        <v>12</v>
      </c>
      <c r="Q4" s="116" t="s">
        <v>13</v>
      </c>
      <c r="R4" s="4" t="s">
        <v>14</v>
      </c>
    </row>
    <row r="5" spans="1:20" ht="24" customHeight="1" x14ac:dyDescent="0.3">
      <c r="A5" s="5" t="s">
        <v>15</v>
      </c>
      <c r="B5" s="5"/>
      <c r="C5" s="6"/>
      <c r="D5" s="7"/>
      <c r="E5" s="6"/>
      <c r="G5" s="9"/>
      <c r="H5" s="6"/>
      <c r="I5" s="6"/>
      <c r="J5" s="10"/>
      <c r="K5" s="10"/>
      <c r="L5" s="10"/>
      <c r="M5" s="10"/>
      <c r="N5" s="10"/>
      <c r="O5" s="11"/>
      <c r="P5" s="10"/>
      <c r="Q5" s="10"/>
      <c r="R5" s="10"/>
      <c r="S5" s="169"/>
    </row>
    <row r="6" spans="1:20" ht="24" customHeight="1" x14ac:dyDescent="0.3">
      <c r="A6" s="12" t="s">
        <v>16</v>
      </c>
      <c r="B6" s="13">
        <v>2</v>
      </c>
      <c r="C6" s="14">
        <f>$B6*(1-B$32)</f>
        <v>0.87999999999999989</v>
      </c>
      <c r="D6" s="14">
        <f>$B6*(1-D$32)</f>
        <v>0.41999999999999993</v>
      </c>
      <c r="E6" s="14">
        <f>$B6*(1-C$32)</f>
        <v>1.2</v>
      </c>
      <c r="F6" s="17">
        <v>5.0000000000000001E-3</v>
      </c>
      <c r="G6" s="18">
        <f>B53</f>
        <v>0.66216216216216217</v>
      </c>
      <c r="H6" s="19">
        <f>C6*$F6*$G6</f>
        <v>2.9135135135135133E-3</v>
      </c>
      <c r="I6" s="19">
        <f>D6*$F6*$G6</f>
        <v>1.3905405405405405E-3</v>
      </c>
      <c r="J6" s="19">
        <f>E6*$F6*$G6</f>
        <v>3.972972972972973E-3</v>
      </c>
      <c r="K6" s="20">
        <f>B66</f>
        <v>10.412132229149028</v>
      </c>
      <c r="L6" s="21">
        <f>H6*$K6*365*24/$B$52</f>
        <v>14.962971761151453</v>
      </c>
      <c r="M6" s="21">
        <f>I6*$K6*365*24/$B$52</f>
        <v>7.1414183405495573</v>
      </c>
      <c r="N6" s="21">
        <f>J6*$K6*365*24/$B$52</f>
        <v>20.404052401570162</v>
      </c>
      <c r="O6" s="18">
        <f>(B$51+B$52)*(((B$58/F6-B$60)/C$61)/B$59)</f>
        <v>9.8539906854798326E-3</v>
      </c>
      <c r="P6" s="23">
        <f>60*L6*$O6*($B$52+$B$51)/$B$52</f>
        <v>11.835448744692107</v>
      </c>
      <c r="Q6" s="23">
        <f>60*M6*$O6*($B$52+$B$51)/$B$52</f>
        <v>5.6487369008757797</v>
      </c>
      <c r="R6" s="24">
        <f>60*N6*$O6*($B$52+$B$51)/$B$52</f>
        <v>16.13924828821651</v>
      </c>
      <c r="S6" s="169"/>
      <c r="T6" s="170"/>
    </row>
    <row r="7" spans="1:20" ht="24" customHeight="1" x14ac:dyDescent="0.3">
      <c r="A7" s="25" t="s">
        <v>17</v>
      </c>
      <c r="B7" s="26">
        <v>2.5</v>
      </c>
      <c r="C7" s="27">
        <f>$B7*(1-B$32)</f>
        <v>1.0999999999999999</v>
      </c>
      <c r="D7" s="27">
        <f>$B7*(1-D$32)</f>
        <v>0.52499999999999991</v>
      </c>
      <c r="E7" s="27">
        <f>$B7*(1-C$32)</f>
        <v>1.5</v>
      </c>
      <c r="F7" s="30">
        <v>6.4999999999999997E-3</v>
      </c>
      <c r="G7" s="31">
        <f>G6</f>
        <v>0.66216216216216217</v>
      </c>
      <c r="H7" s="32">
        <f>C7*$F7*$G7</f>
        <v>4.7344594594594591E-3</v>
      </c>
      <c r="I7" s="32">
        <f>D7*$F7*$G7</f>
        <v>2.2596283783783777E-3</v>
      </c>
      <c r="J7" s="32">
        <f>E7*$F7*$G7</f>
        <v>6.4560810810810809E-3</v>
      </c>
      <c r="K7" s="33">
        <f>K6</f>
        <v>10.412132229149028</v>
      </c>
      <c r="L7" s="34">
        <f>H7*$K7*365*24/$B$52</f>
        <v>24.314829111871106</v>
      </c>
      <c r="M7" s="34">
        <f>I7*$K7*365*24/$B$52</f>
        <v>11.604804803393026</v>
      </c>
      <c r="N7" s="34">
        <f>J7*$K7*365*24/$B$52</f>
        <v>33.156585152551514</v>
      </c>
      <c r="O7" s="31">
        <f>(B$51+B$52)*(((B$58/F7-B$60)/C$61)/B$59)</f>
        <v>7.294987665445991E-3</v>
      </c>
      <c r="P7" s="36">
        <f>60*L7*$O7*($B$52+$B$51)/$B$52</f>
        <v>14.238049838427692</v>
      </c>
      <c r="Q7" s="36">
        <f>60*M7*$O7*($B$52+$B$51)/$B$52</f>
        <v>6.7954328774313986</v>
      </c>
      <c r="R7" s="37">
        <f>60*N7*$O7*($B$52+$B$51)/$B$52</f>
        <v>19.415522506946854</v>
      </c>
    </row>
    <row r="8" spans="1:20" ht="24" customHeight="1" x14ac:dyDescent="0.3">
      <c r="A8" s="38" t="s">
        <v>18</v>
      </c>
      <c r="B8" s="39">
        <v>4</v>
      </c>
      <c r="C8" s="40">
        <f>$B8*(1-B$32)</f>
        <v>1.7599999999999998</v>
      </c>
      <c r="D8" s="40">
        <f>$B8*(1-D$32)</f>
        <v>0.83999999999999986</v>
      </c>
      <c r="E8" s="40">
        <f>$B8*(1-C$32)</f>
        <v>2.4</v>
      </c>
      <c r="F8" s="43">
        <v>8.0000000000000002E-3</v>
      </c>
      <c r="G8" s="121">
        <f>G7</f>
        <v>0.66216216216216217</v>
      </c>
      <c r="H8" s="44">
        <f>C8*$F8*$G8</f>
        <v>9.3232432432432434E-3</v>
      </c>
      <c r="I8" s="44">
        <f>D8*$F8*$G8</f>
        <v>4.4497297297297293E-3</v>
      </c>
      <c r="J8" s="44">
        <f>E8*$F8*$G8</f>
        <v>1.2713513513513512E-2</v>
      </c>
      <c r="K8" s="45">
        <f>K7</f>
        <v>10.412132229149028</v>
      </c>
      <c r="L8" s="46">
        <f>H8*$K8*365*24/$B$52</f>
        <v>47.881509635684651</v>
      </c>
      <c r="M8" s="46">
        <f>I8*$K8*365*24/$B$52</f>
        <v>22.852538689758582</v>
      </c>
      <c r="N8" s="46">
        <f>J8*$K8*365*24/$B$52</f>
        <v>65.292967685024522</v>
      </c>
      <c r="O8" s="121">
        <f>(B$51+B$52)*(((B$58/F8-B$60)/C$61)/B$59)</f>
        <v>5.6956107779248411E-3</v>
      </c>
      <c r="P8" s="48">
        <f>60*L8*$O8*($B$52+$B$51)/$B$52</f>
        <v>21.890861993584416</v>
      </c>
      <c r="Q8" s="48">
        <f>60*M8*$O8*($B$52+$B$51)/$B$52</f>
        <v>10.447911406028924</v>
      </c>
      <c r="R8" s="49">
        <f>60*N8*$O8*($B$52+$B$51)/$B$52</f>
        <v>29.85117544579693</v>
      </c>
      <c r="S8" s="169"/>
    </row>
    <row r="9" spans="1:20" ht="24" customHeight="1" x14ac:dyDescent="0.3">
      <c r="A9" s="5" t="s">
        <v>19</v>
      </c>
      <c r="B9" s="50"/>
      <c r="C9" s="51"/>
      <c r="D9" s="52"/>
      <c r="E9" s="53"/>
      <c r="F9" s="120"/>
      <c r="G9" s="9"/>
      <c r="H9" s="55"/>
      <c r="I9" s="55"/>
      <c r="J9" s="56"/>
      <c r="K9" s="57"/>
      <c r="L9" s="58"/>
      <c r="M9" s="58"/>
      <c r="N9" s="58"/>
      <c r="O9" s="59"/>
      <c r="P9" s="37"/>
      <c r="Q9" s="37"/>
      <c r="R9" s="37"/>
      <c r="S9" s="169"/>
    </row>
    <row r="10" spans="1:20" ht="24" customHeight="1" x14ac:dyDescent="0.3">
      <c r="A10" s="12" t="s">
        <v>16</v>
      </c>
      <c r="B10" s="13">
        <v>2</v>
      </c>
      <c r="C10" s="14">
        <f>$B10*(1-B$33)</f>
        <v>1.3199999999999998</v>
      </c>
      <c r="D10" s="14">
        <f>$B10*(1-D$33)</f>
        <v>1.1000000000000001</v>
      </c>
      <c r="E10" s="14">
        <f>$B10*(1-C$33)</f>
        <v>1.48</v>
      </c>
      <c r="F10" s="17">
        <f>F6</f>
        <v>5.0000000000000001E-3</v>
      </c>
      <c r="G10" s="18">
        <f>G8</f>
        <v>0.66216216216216217</v>
      </c>
      <c r="H10" s="19">
        <f>C10*$F10*$G10</f>
        <v>4.3702702702702696E-3</v>
      </c>
      <c r="I10" s="19">
        <f>D10*$F10*$G10</f>
        <v>3.6418918918918923E-3</v>
      </c>
      <c r="J10" s="19">
        <f>E10*$F10*$G10</f>
        <v>4.9000000000000007E-3</v>
      </c>
      <c r="K10" s="20">
        <f>K8</f>
        <v>10.412132229149028</v>
      </c>
      <c r="L10" s="21">
        <f>H10*$K10*365*24/$B$52</f>
        <v>22.444457641727176</v>
      </c>
      <c r="M10" s="21">
        <f>I10*$K10*365*24/$B$52</f>
        <v>18.703714701439321</v>
      </c>
      <c r="N10" s="21">
        <f>J10*$K10*365*24/$B$52</f>
        <v>25.164997961936535</v>
      </c>
      <c r="O10" s="22">
        <f>O6</f>
        <v>9.8539906854798326E-3</v>
      </c>
      <c r="P10" s="23">
        <f>60*L10*$O10*($B$52+$B$51)/$B$52</f>
        <v>17.753173117038163</v>
      </c>
      <c r="Q10" s="23">
        <f>60*M10*$O10*($B$52+$B$51)/$B$52</f>
        <v>14.794310930865141</v>
      </c>
      <c r="R10" s="24">
        <f>60*N10*$O10*($B$52+$B$51)/$B$52</f>
        <v>19.905072888800362</v>
      </c>
      <c r="S10" s="169"/>
    </row>
    <row r="11" spans="1:20" ht="24" customHeight="1" x14ac:dyDescent="0.3">
      <c r="A11" s="25" t="s">
        <v>17</v>
      </c>
      <c r="B11" s="26">
        <v>2.5</v>
      </c>
      <c r="C11" s="27">
        <f>B11*(1-B$33)</f>
        <v>1.65</v>
      </c>
      <c r="D11" s="27">
        <f>$B11*(1-D$33)</f>
        <v>1.375</v>
      </c>
      <c r="E11" s="27">
        <f>$B11*(1-C$33)</f>
        <v>1.85</v>
      </c>
      <c r="F11" s="30">
        <f>F7</f>
        <v>6.4999999999999997E-3</v>
      </c>
      <c r="G11" s="31">
        <f>G10</f>
        <v>0.66216216216216217</v>
      </c>
      <c r="H11" s="32">
        <f>C11*$F11*$G11</f>
        <v>7.1016891891891882E-3</v>
      </c>
      <c r="I11" s="32">
        <f>D11*$F11*$G11</f>
        <v>5.9180743243243241E-3</v>
      </c>
      <c r="J11" s="32">
        <f>E11*$F11*$G11</f>
        <v>7.9624999999999991E-3</v>
      </c>
      <c r="K11" s="33">
        <f>K10</f>
        <v>10.412132229149028</v>
      </c>
      <c r="L11" s="34">
        <f>H11*$K11*365*24/$B$52</f>
        <v>36.472243667806666</v>
      </c>
      <c r="M11" s="34">
        <f>I11*$K11*365*24/$B$52</f>
        <v>30.393536389838886</v>
      </c>
      <c r="N11" s="34">
        <f>J11*$K11*365*24/$B$52</f>
        <v>40.893121688146863</v>
      </c>
      <c r="O11" s="35">
        <f>O7</f>
        <v>7.294987665445991E-3</v>
      </c>
      <c r="P11" s="36">
        <f>60*L11*$O11*($B$52+$B$51)/$B$52</f>
        <v>21.357074757641541</v>
      </c>
      <c r="Q11" s="36">
        <f>60*M11*$O11*($B$52+$B$51)/$B$52</f>
        <v>17.797562298034617</v>
      </c>
      <c r="R11" s="37">
        <f>60*N11*$O11*($B$52+$B$51)/$B$52</f>
        <v>23.945811091901124</v>
      </c>
      <c r="S11" s="169"/>
    </row>
    <row r="12" spans="1:20" ht="24" customHeight="1" x14ac:dyDescent="0.3">
      <c r="A12" s="38" t="s">
        <v>18</v>
      </c>
      <c r="B12" s="39">
        <v>4</v>
      </c>
      <c r="C12" s="40">
        <f>B12*(1-B$33)</f>
        <v>2.6399999999999997</v>
      </c>
      <c r="D12" s="40">
        <f>$B12*(1-D$33)</f>
        <v>2.2000000000000002</v>
      </c>
      <c r="E12" s="40">
        <f>$B12*(1-C$33)</f>
        <v>2.96</v>
      </c>
      <c r="F12" s="43">
        <f>F8</f>
        <v>8.0000000000000002E-3</v>
      </c>
      <c r="G12" s="121">
        <f>G11</f>
        <v>0.66216216216216217</v>
      </c>
      <c r="H12" s="44">
        <f>C12*$F12*$G12</f>
        <v>1.3984864864864863E-2</v>
      </c>
      <c r="I12" s="44">
        <f>D12*$F12*$G12</f>
        <v>1.1654054054054055E-2</v>
      </c>
      <c r="J12" s="44">
        <f>E12*$F12*$G12</f>
        <v>1.5679999999999999E-2</v>
      </c>
      <c r="K12" s="45">
        <f>K11</f>
        <v>10.412132229149028</v>
      </c>
      <c r="L12" s="46">
        <f>H12*$K12*365*24/$B$52</f>
        <v>71.822264453526969</v>
      </c>
      <c r="M12" s="46">
        <f>I12*$K12*365*24/$B$52</f>
        <v>59.851887044605824</v>
      </c>
      <c r="N12" s="46">
        <f>J12*$K12*365*24/$B$52</f>
        <v>80.527993478196919</v>
      </c>
      <c r="O12" s="47">
        <f>O8</f>
        <v>5.6956107779248411E-3</v>
      </c>
      <c r="P12" s="48">
        <f>60*L12*$O12*($B$52+$B$51)/$B$52</f>
        <v>32.83629299037662</v>
      </c>
      <c r="Q12" s="48">
        <f>60*M12*$O12*($B$52+$B$51)/$B$52</f>
        <v>27.363577491980525</v>
      </c>
      <c r="R12" s="49">
        <f>60*N12*$O12*($B$52+$B$51)/$B$52</f>
        <v>36.816449716482879</v>
      </c>
      <c r="S12" s="169"/>
    </row>
    <row r="13" spans="1:20" ht="24" customHeight="1" x14ac:dyDescent="0.3">
      <c r="A13" s="60" t="s">
        <v>20</v>
      </c>
      <c r="B13" s="61" t="str">
        <f>A17</f>
        <v>[A]</v>
      </c>
      <c r="C13" s="62" t="str">
        <f>A18</f>
        <v>[B]</v>
      </c>
      <c r="D13" s="62" t="str">
        <f>A19</f>
        <v>[C]</v>
      </c>
      <c r="E13" s="62" t="str">
        <f>A20</f>
        <v>[D]</v>
      </c>
      <c r="F13" s="64" t="str">
        <f>$A21</f>
        <v>[E]</v>
      </c>
      <c r="G13" s="65" t="str">
        <f>$A22</f>
        <v>[F]</v>
      </c>
      <c r="H13" s="130" t="str">
        <f>$A23</f>
        <v>[G]</v>
      </c>
      <c r="I13" s="131"/>
      <c r="J13" s="132"/>
      <c r="K13" s="66" t="str">
        <f>A24</f>
        <v>[H]</v>
      </c>
      <c r="L13" s="133" t="str">
        <f>$A25</f>
        <v>[I]</v>
      </c>
      <c r="M13" s="134"/>
      <c r="N13" s="135"/>
      <c r="O13" s="66" t="str">
        <f>A26</f>
        <v>[J]</v>
      </c>
      <c r="P13" s="133" t="str">
        <f>$A27</f>
        <v>[K]</v>
      </c>
      <c r="Q13" s="134"/>
      <c r="R13" s="134"/>
    </row>
    <row r="14" spans="1:20" ht="24" customHeight="1" x14ac:dyDescent="0.3">
      <c r="A14" s="168" t="s">
        <v>120</v>
      </c>
      <c r="B14" s="167"/>
      <c r="C14" s="166"/>
      <c r="D14" s="166"/>
      <c r="E14" s="166"/>
      <c r="F14" s="83"/>
      <c r="G14" s="83"/>
      <c r="H14" s="165"/>
      <c r="I14" s="164"/>
      <c r="J14" s="164"/>
      <c r="K14" s="164"/>
      <c r="L14" s="163">
        <f>($K7*365*24/L7)/1000</f>
        <v>3.7512202083630672</v>
      </c>
      <c r="M14" s="163">
        <f>($K7*365*24/M7)/1000</f>
        <v>7.8596994841892851</v>
      </c>
      <c r="N14" s="163">
        <f>($K7*365*24/N7)/1000</f>
        <v>2.7508948194662484</v>
      </c>
      <c r="O14" s="162"/>
      <c r="P14" s="265">
        <f>($K7*365*24*60/P7)/1000</f>
        <v>384.36560917706908</v>
      </c>
      <c r="Q14" s="265">
        <f>($K7*365*24*60/Q7)/1000</f>
        <v>805.33746684719233</v>
      </c>
      <c r="R14" s="266">
        <f>($K7*365*24*60/R7)/1000</f>
        <v>281.86811339651734</v>
      </c>
      <c r="S14" s="267"/>
    </row>
    <row r="15" spans="1:20" ht="24" customHeight="1" x14ac:dyDescent="0.3">
      <c r="A15" s="67" t="s">
        <v>206</v>
      </c>
      <c r="B15" s="68"/>
      <c r="C15" s="69"/>
      <c r="D15" s="69"/>
      <c r="E15" s="69"/>
      <c r="H15" s="70"/>
      <c r="I15" s="51"/>
      <c r="J15" s="51"/>
      <c r="K15" s="51"/>
      <c r="L15" s="71"/>
      <c r="M15" s="11"/>
      <c r="N15" s="11"/>
      <c r="O15" s="72"/>
      <c r="P15" s="72"/>
      <c r="Q15" s="73"/>
      <c r="R15" s="71"/>
    </row>
    <row r="16" spans="1:20" ht="24" customHeight="1" x14ac:dyDescent="0.3">
      <c r="A16" s="74" t="s">
        <v>22</v>
      </c>
      <c r="B16" s="75"/>
      <c r="C16" s="75"/>
      <c r="D16" s="75"/>
      <c r="E16" s="75"/>
      <c r="F16" s="75"/>
      <c r="G16" s="75"/>
      <c r="H16" s="75"/>
      <c r="I16" s="75"/>
      <c r="J16" s="75"/>
      <c r="K16" s="75"/>
      <c r="L16" s="75"/>
      <c r="M16" s="75"/>
      <c r="N16" s="75"/>
      <c r="O16" s="75"/>
      <c r="P16" s="75"/>
      <c r="Q16" s="75"/>
      <c r="R16" s="75"/>
    </row>
    <row r="17" spans="1:18" ht="30" customHeight="1" x14ac:dyDescent="0.3">
      <c r="A17" s="76" t="s">
        <v>23</v>
      </c>
      <c r="B17" s="136" t="s">
        <v>196</v>
      </c>
      <c r="C17" s="136"/>
      <c r="D17" s="136"/>
      <c r="E17" s="136"/>
      <c r="F17" s="136"/>
      <c r="G17" s="136"/>
      <c r="H17" s="136"/>
      <c r="I17" s="136"/>
      <c r="J17" s="136"/>
      <c r="K17" s="136"/>
      <c r="L17" s="136"/>
      <c r="M17" s="136"/>
      <c r="N17" s="136"/>
      <c r="O17" s="136"/>
      <c r="P17" s="136"/>
      <c r="Q17" s="136"/>
      <c r="R17" s="136"/>
    </row>
    <row r="18" spans="1:18" s="78" customFormat="1" ht="18" customHeight="1" x14ac:dyDescent="0.3">
      <c r="A18" s="76" t="s">
        <v>25</v>
      </c>
      <c r="B18" s="77" t="s">
        <v>26</v>
      </c>
      <c r="C18" s="77"/>
      <c r="D18" s="77"/>
      <c r="E18" s="77"/>
      <c r="F18" s="77"/>
      <c r="G18" s="77"/>
      <c r="H18" s="77"/>
      <c r="I18" s="77"/>
      <c r="J18" s="77"/>
      <c r="K18" s="77"/>
      <c r="L18" s="77"/>
      <c r="M18" s="77"/>
    </row>
    <row r="19" spans="1:18" s="78" customFormat="1" ht="18" customHeight="1" x14ac:dyDescent="0.3">
      <c r="A19" s="76" t="s">
        <v>27</v>
      </c>
      <c r="B19" s="77" t="s">
        <v>28</v>
      </c>
      <c r="C19" s="77"/>
      <c r="D19" s="77"/>
      <c r="E19" s="77"/>
      <c r="F19" s="77"/>
      <c r="G19" s="77"/>
      <c r="H19" s="77"/>
      <c r="I19" s="77"/>
      <c r="J19" s="77"/>
      <c r="K19" s="77"/>
      <c r="L19" s="77"/>
      <c r="M19" s="77"/>
    </row>
    <row r="20" spans="1:18" s="78" customFormat="1" ht="18" customHeight="1" x14ac:dyDescent="0.3">
      <c r="A20" s="76" t="s">
        <v>29</v>
      </c>
      <c r="B20" s="77" t="s">
        <v>30</v>
      </c>
      <c r="C20" s="77"/>
      <c r="D20" s="77"/>
      <c r="E20" s="77"/>
      <c r="F20" s="77"/>
      <c r="G20" s="77"/>
      <c r="H20" s="77"/>
      <c r="I20" s="77"/>
      <c r="J20" s="77"/>
      <c r="K20" s="77"/>
      <c r="L20" s="77"/>
      <c r="M20" s="77"/>
    </row>
    <row r="21" spans="1:18" s="78" customFormat="1" ht="18" customHeight="1" x14ac:dyDescent="0.3">
      <c r="A21" s="76" t="s">
        <v>31</v>
      </c>
      <c r="B21" s="77" t="s">
        <v>197</v>
      </c>
      <c r="C21" s="77"/>
      <c r="D21" s="77"/>
      <c r="E21" s="77"/>
      <c r="F21" s="77"/>
      <c r="G21" s="77"/>
      <c r="H21" s="77"/>
      <c r="I21" s="77"/>
      <c r="J21" s="77"/>
      <c r="K21" s="77"/>
      <c r="L21" s="77"/>
      <c r="M21" s="77"/>
    </row>
    <row r="22" spans="1:18" s="78" customFormat="1" ht="18" customHeight="1" x14ac:dyDescent="0.3">
      <c r="A22" s="76" t="s">
        <v>33</v>
      </c>
      <c r="B22" s="77" t="s">
        <v>38</v>
      </c>
      <c r="C22" s="77"/>
      <c r="D22" s="77"/>
      <c r="E22" s="77"/>
      <c r="F22" s="77"/>
      <c r="G22" s="77"/>
      <c r="H22" s="77"/>
      <c r="I22" s="77"/>
      <c r="J22" s="77"/>
      <c r="K22" s="77"/>
      <c r="L22" s="77"/>
      <c r="M22" s="77"/>
    </row>
    <row r="23" spans="1:18" s="78" customFormat="1" ht="18" customHeight="1" x14ac:dyDescent="0.3">
      <c r="A23" s="76" t="s">
        <v>35</v>
      </c>
      <c r="B23" s="77" t="s">
        <v>40</v>
      </c>
      <c r="C23" s="77"/>
      <c r="D23" s="77"/>
      <c r="E23" s="77"/>
      <c r="F23" s="77"/>
      <c r="G23" s="77"/>
      <c r="H23" s="77"/>
      <c r="I23" s="77"/>
      <c r="J23" s="77"/>
      <c r="K23" s="77"/>
      <c r="L23" s="77"/>
      <c r="M23" s="77"/>
    </row>
    <row r="24" spans="1:18" ht="45" customHeight="1" x14ac:dyDescent="0.3">
      <c r="A24" s="76" t="s">
        <v>37</v>
      </c>
      <c r="B24" s="136" t="s">
        <v>205</v>
      </c>
      <c r="C24" s="136"/>
      <c r="D24" s="136"/>
      <c r="E24" s="136"/>
      <c r="F24" s="136"/>
      <c r="G24" s="136"/>
      <c r="H24" s="136"/>
      <c r="I24" s="136"/>
      <c r="J24" s="136"/>
      <c r="K24" s="136"/>
      <c r="L24" s="136"/>
      <c r="M24" s="136"/>
      <c r="N24" s="136"/>
      <c r="O24" s="136"/>
      <c r="P24" s="136"/>
      <c r="Q24" s="136"/>
      <c r="R24" s="136"/>
    </row>
    <row r="25" spans="1:18" ht="30" customHeight="1" x14ac:dyDescent="0.3">
      <c r="A25" s="76" t="s">
        <v>39</v>
      </c>
      <c r="B25" s="136" t="s">
        <v>44</v>
      </c>
      <c r="C25" s="136"/>
      <c r="D25" s="136"/>
      <c r="E25" s="136"/>
      <c r="F25" s="136"/>
      <c r="G25" s="136"/>
      <c r="H25" s="136"/>
      <c r="I25" s="136"/>
      <c r="J25" s="136"/>
      <c r="K25" s="136"/>
      <c r="L25" s="136"/>
      <c r="M25" s="136"/>
      <c r="N25" s="136"/>
      <c r="O25" s="136"/>
      <c r="P25" s="136"/>
      <c r="Q25" s="136"/>
      <c r="R25" s="136"/>
    </row>
    <row r="26" spans="1:18" ht="60" customHeight="1" x14ac:dyDescent="0.3">
      <c r="A26" s="76" t="s">
        <v>41</v>
      </c>
      <c r="B26" s="136" t="s">
        <v>113</v>
      </c>
      <c r="C26" s="136"/>
      <c r="D26" s="136"/>
      <c r="E26" s="136"/>
      <c r="F26" s="136"/>
      <c r="G26" s="136"/>
      <c r="H26" s="136"/>
      <c r="I26" s="136"/>
      <c r="J26" s="136"/>
      <c r="K26" s="136"/>
      <c r="L26" s="136"/>
      <c r="M26" s="136"/>
      <c r="N26" s="136"/>
      <c r="O26" s="136"/>
      <c r="P26" s="136"/>
      <c r="Q26" s="136"/>
      <c r="R26" s="136"/>
    </row>
    <row r="27" spans="1:18" ht="30" customHeight="1" x14ac:dyDescent="0.3">
      <c r="A27" s="76" t="s">
        <v>43</v>
      </c>
      <c r="B27" s="136" t="s">
        <v>47</v>
      </c>
      <c r="C27" s="136"/>
      <c r="D27" s="136"/>
      <c r="E27" s="136"/>
      <c r="F27" s="136"/>
      <c r="G27" s="136"/>
      <c r="H27" s="136"/>
      <c r="I27" s="136"/>
      <c r="J27" s="136"/>
      <c r="K27" s="136"/>
      <c r="L27" s="136"/>
      <c r="M27" s="136"/>
      <c r="N27" s="136"/>
      <c r="O27" s="136"/>
      <c r="P27" s="136"/>
      <c r="Q27" s="136"/>
      <c r="R27" s="136"/>
    </row>
    <row r="28" spans="1:18" ht="45" customHeight="1" x14ac:dyDescent="0.3">
      <c r="A28" s="76" t="s">
        <v>45</v>
      </c>
      <c r="B28" s="136" t="s">
        <v>119</v>
      </c>
      <c r="C28" s="136"/>
      <c r="D28" s="136"/>
      <c r="E28" s="136"/>
      <c r="F28" s="136"/>
      <c r="G28" s="136"/>
      <c r="H28" s="136"/>
      <c r="I28" s="136"/>
      <c r="J28" s="136"/>
      <c r="K28" s="136"/>
      <c r="L28" s="136"/>
      <c r="M28" s="136"/>
      <c r="N28" s="136"/>
      <c r="O28" s="136"/>
      <c r="P28" s="136"/>
      <c r="Q28" s="136"/>
      <c r="R28" s="136"/>
    </row>
    <row r="29" spans="1:18" s="8" customFormat="1" ht="24" customHeight="1" x14ac:dyDescent="0.3">
      <c r="A29" s="79" t="s">
        <v>48</v>
      </c>
      <c r="B29" s="75"/>
      <c r="C29" s="75"/>
      <c r="D29" s="75"/>
      <c r="E29" s="75"/>
      <c r="F29" s="75"/>
      <c r="G29" s="75"/>
      <c r="H29" s="75"/>
      <c r="I29" s="75"/>
      <c r="J29" s="75"/>
      <c r="K29" s="75"/>
      <c r="L29" s="75"/>
      <c r="M29" s="75"/>
      <c r="N29" s="75"/>
      <c r="O29" s="75"/>
      <c r="P29" s="75"/>
      <c r="Q29" s="75"/>
      <c r="R29" s="75"/>
    </row>
    <row r="30" spans="1:18" ht="24" customHeight="1" x14ac:dyDescent="0.3">
      <c r="A30" s="80" t="s">
        <v>49</v>
      </c>
      <c r="B30" s="81" t="s">
        <v>50</v>
      </c>
      <c r="C30" s="82"/>
      <c r="D30" s="82"/>
      <c r="E30" s="82"/>
      <c r="F30" s="83"/>
      <c r="G30" s="83"/>
      <c r="H30" s="83"/>
      <c r="I30" s="83"/>
      <c r="J30" s="83"/>
      <c r="K30" s="83"/>
      <c r="L30" s="83"/>
      <c r="M30" s="83"/>
      <c r="N30" s="83"/>
      <c r="O30" s="83"/>
      <c r="P30" s="83"/>
      <c r="Q30" s="83"/>
      <c r="R30" s="84" t="s">
        <v>20</v>
      </c>
    </row>
    <row r="31" spans="1:18" ht="24" customHeight="1" x14ac:dyDescent="0.3">
      <c r="A31" s="80"/>
      <c r="B31" s="161" t="s">
        <v>12</v>
      </c>
      <c r="C31" s="160" t="s">
        <v>13</v>
      </c>
      <c r="D31" s="85" t="s">
        <v>14</v>
      </c>
      <c r="E31" s="86"/>
      <c r="R31" s="80"/>
    </row>
    <row r="32" spans="1:18" ht="18" customHeight="1" x14ac:dyDescent="0.3">
      <c r="B32" s="159">
        <v>0.56000000000000005</v>
      </c>
      <c r="C32" s="158">
        <v>0.4</v>
      </c>
      <c r="D32" s="88">
        <v>0.79</v>
      </c>
      <c r="E32" s="67" t="s">
        <v>51</v>
      </c>
      <c r="R32" s="87" t="s">
        <v>52</v>
      </c>
    </row>
    <row r="33" spans="1:18" ht="18" customHeight="1" x14ac:dyDescent="0.3">
      <c r="B33" s="157">
        <v>0.34</v>
      </c>
      <c r="C33" s="156">
        <v>0.26</v>
      </c>
      <c r="D33" s="88">
        <v>0.45</v>
      </c>
      <c r="E33" s="67" t="s">
        <v>53</v>
      </c>
      <c r="N33" s="8"/>
      <c r="O33" s="8"/>
      <c r="Q33" s="91"/>
      <c r="R33" s="92" t="s">
        <v>54</v>
      </c>
    </row>
    <row r="34" spans="1:18" ht="18" customHeight="1" x14ac:dyDescent="0.3">
      <c r="B34" s="93" t="str">
        <f>R32</f>
        <v>[P1a]</v>
      </c>
      <c r="C34" s="137" t="s">
        <v>199</v>
      </c>
      <c r="D34" s="137"/>
      <c r="E34" s="137"/>
      <c r="F34" s="137"/>
      <c r="G34" s="137"/>
      <c r="H34" s="137"/>
      <c r="I34" s="137"/>
      <c r="J34" s="137"/>
      <c r="K34" s="137"/>
      <c r="L34" s="137"/>
      <c r="M34" s="137"/>
      <c r="N34" s="137"/>
      <c r="O34" s="137"/>
      <c r="P34" s="137"/>
    </row>
    <row r="35" spans="1:18" ht="18" customHeight="1" x14ac:dyDescent="0.3">
      <c r="B35" s="93" t="str">
        <f>R33</f>
        <v>[P2a]</v>
      </c>
      <c r="C35" s="138" t="s">
        <v>200</v>
      </c>
      <c r="D35" s="138"/>
      <c r="E35" s="138"/>
      <c r="F35" s="138"/>
      <c r="G35" s="138"/>
      <c r="H35" s="138"/>
      <c r="I35" s="138"/>
      <c r="J35" s="138"/>
      <c r="K35" s="138"/>
      <c r="L35" s="138"/>
      <c r="M35" s="138"/>
      <c r="N35" s="138"/>
      <c r="O35" s="138"/>
      <c r="P35" s="138"/>
    </row>
    <row r="36" spans="1:18" ht="24" customHeight="1" x14ac:dyDescent="0.3">
      <c r="A36" s="80" t="s">
        <v>57</v>
      </c>
      <c r="B36" s="81" t="s">
        <v>58</v>
      </c>
      <c r="C36" s="82"/>
      <c r="D36" s="82"/>
      <c r="E36" s="82"/>
      <c r="F36" s="83"/>
      <c r="G36" s="83"/>
      <c r="H36" s="83"/>
      <c r="I36" s="83"/>
      <c r="J36" s="83"/>
      <c r="K36" s="83"/>
      <c r="L36" s="83"/>
      <c r="M36" s="83"/>
      <c r="N36" s="83"/>
      <c r="O36" s="83"/>
      <c r="P36" s="83"/>
      <c r="Q36" s="83"/>
      <c r="R36" s="83"/>
    </row>
    <row r="37" spans="1:18" ht="18" customHeight="1" x14ac:dyDescent="0.3">
      <c r="B37" s="139" t="s">
        <v>59</v>
      </c>
      <c r="C37" s="155"/>
      <c r="D37" s="114" t="s">
        <v>60</v>
      </c>
    </row>
    <row r="38" spans="1:18" ht="18" customHeight="1" x14ac:dyDescent="0.3">
      <c r="B38" s="95" t="s">
        <v>61</v>
      </c>
      <c r="C38" s="154"/>
      <c r="D38" s="96">
        <f>'[2]S1 Cases Deaths by Age Group'!B5</f>
        <v>1.5</v>
      </c>
    </row>
    <row r="39" spans="1:18" ht="18" customHeight="1" x14ac:dyDescent="0.3">
      <c r="B39" s="95" t="s">
        <v>62</v>
      </c>
      <c r="C39" s="154"/>
      <c r="D39" s="96">
        <f>'[2]S1 Cases Deaths by Age Group'!B6</f>
        <v>5.2</v>
      </c>
    </row>
    <row r="40" spans="1:18" ht="18" customHeight="1" x14ac:dyDescent="0.3">
      <c r="B40" s="95" t="s">
        <v>63</v>
      </c>
      <c r="C40" s="154"/>
      <c r="D40" s="96">
        <f>'[2]S1 Cases Deaths by Age Group'!B7</f>
        <v>20.6</v>
      </c>
    </row>
    <row r="41" spans="1:18" ht="18" customHeight="1" x14ac:dyDescent="0.3">
      <c r="B41" s="95" t="s">
        <v>64</v>
      </c>
      <c r="C41" s="154"/>
      <c r="D41" s="96">
        <f>'[2]S1 Cases Deaths by Age Group'!B8</f>
        <v>17.100000000000001</v>
      </c>
    </row>
    <row r="42" spans="1:18" ht="18" customHeight="1" x14ac:dyDescent="0.3">
      <c r="B42" s="95" t="s">
        <v>65</v>
      </c>
      <c r="C42" s="154"/>
      <c r="D42" s="96">
        <f>'[2]S1 Cases Deaths by Age Group'!B9</f>
        <v>16</v>
      </c>
    </row>
    <row r="43" spans="1:18" ht="18" customHeight="1" x14ac:dyDescent="0.3">
      <c r="B43" s="95" t="s">
        <v>66</v>
      </c>
      <c r="C43" s="154"/>
      <c r="D43" s="96">
        <f>'[2]S1 Cases Deaths by Age Group'!B10</f>
        <v>22.3</v>
      </c>
    </row>
    <row r="44" spans="1:18" ht="18" customHeight="1" x14ac:dyDescent="0.3">
      <c r="B44" s="95" t="s">
        <v>67</v>
      </c>
      <c r="C44" s="154"/>
      <c r="D44" s="97">
        <f>'[2]S1 Cases Deaths by Age Group'!B11</f>
        <v>8.3000000000000007</v>
      </c>
    </row>
    <row r="45" spans="1:18" ht="18" customHeight="1" x14ac:dyDescent="0.3">
      <c r="B45" s="95" t="s">
        <v>68</v>
      </c>
      <c r="C45" s="154"/>
      <c r="D45" s="96">
        <f>'[2]S1 Cases Deaths by Age Group'!B12</f>
        <v>5</v>
      </c>
    </row>
    <row r="46" spans="1:18" ht="18" customHeight="1" x14ac:dyDescent="0.3">
      <c r="B46" s="95" t="s">
        <v>69</v>
      </c>
      <c r="C46" s="154"/>
      <c r="D46" s="96">
        <f>'[2]S1 Cases Deaths by Age Group'!B13</f>
        <v>4.0999999999999996</v>
      </c>
    </row>
    <row r="47" spans="1:18" ht="18" customHeight="1" x14ac:dyDescent="0.3">
      <c r="B47" s="95" t="s">
        <v>70</v>
      </c>
      <c r="C47" s="154"/>
      <c r="D47" s="97">
        <f>SUM(D38:D46)</f>
        <v>100.1</v>
      </c>
      <c r="E47"/>
    </row>
    <row r="48" spans="1:18" ht="18" customHeight="1" x14ac:dyDescent="0.3">
      <c r="B48" s="140" t="s">
        <v>20</v>
      </c>
      <c r="C48" s="153"/>
      <c r="D48" s="98" t="s">
        <v>54</v>
      </c>
      <c r="E48" s="99"/>
      <c r="F48" s="83"/>
      <c r="G48" s="83"/>
      <c r="H48" s="83"/>
      <c r="I48" s="83"/>
      <c r="J48" s="83"/>
      <c r="K48" s="83"/>
      <c r="L48" s="83"/>
      <c r="M48" s="83"/>
      <c r="N48" s="83"/>
      <c r="O48" s="100"/>
      <c r="P48" s="100"/>
      <c r="Q48" s="100"/>
      <c r="R48" s="100"/>
    </row>
    <row r="49" spans="1:18" ht="60" customHeight="1" x14ac:dyDescent="0.3">
      <c r="B49" s="101" t="str">
        <f>D48</f>
        <v>[P2a]</v>
      </c>
      <c r="C49" s="137" t="s">
        <v>195</v>
      </c>
      <c r="D49" s="137"/>
      <c r="E49" s="137"/>
      <c r="F49" s="137"/>
      <c r="G49" s="137"/>
      <c r="H49" s="137"/>
      <c r="I49" s="137"/>
      <c r="J49" s="137"/>
      <c r="K49" s="137"/>
      <c r="L49" s="137"/>
      <c r="M49" s="137"/>
      <c r="N49" s="137"/>
      <c r="O49" s="137"/>
      <c r="P49" s="137"/>
      <c r="Q49" s="137"/>
      <c r="R49" s="137"/>
    </row>
    <row r="50" spans="1:18" ht="24" customHeight="1" x14ac:dyDescent="0.3">
      <c r="A50" s="80" t="s">
        <v>72</v>
      </c>
      <c r="B50" s="81" t="s">
        <v>73</v>
      </c>
      <c r="C50" s="82"/>
      <c r="D50" s="82"/>
      <c r="E50" s="82"/>
      <c r="F50" s="83"/>
      <c r="G50" s="83"/>
      <c r="H50" s="83"/>
      <c r="I50" s="83"/>
      <c r="J50" s="83"/>
      <c r="K50" s="83"/>
      <c r="L50" s="83"/>
      <c r="M50" s="83"/>
      <c r="N50" s="83"/>
      <c r="O50" s="83"/>
      <c r="P50" s="83"/>
      <c r="Q50" s="83"/>
      <c r="R50" s="84" t="s">
        <v>20</v>
      </c>
    </row>
    <row r="51" spans="1:18" ht="18" customHeight="1" x14ac:dyDescent="0.3">
      <c r="B51" s="152">
        <v>6</v>
      </c>
      <c r="C51" s="67" t="s">
        <v>74</v>
      </c>
      <c r="D51" s="97"/>
      <c r="E51"/>
      <c r="R51" s="87" t="s">
        <v>75</v>
      </c>
    </row>
    <row r="52" spans="1:18" ht="18" customHeight="1" x14ac:dyDescent="0.3">
      <c r="B52" s="151">
        <v>17.760000000000002</v>
      </c>
      <c r="C52" s="67" t="s">
        <v>76</v>
      </c>
      <c r="D52" s="97"/>
      <c r="E52"/>
      <c r="R52" s="87" t="s">
        <v>77</v>
      </c>
    </row>
    <row r="53" spans="1:18" ht="18" customHeight="1" x14ac:dyDescent="0.3">
      <c r="B53" s="150">
        <f>1-B51/B52</f>
        <v>0.66216216216216217</v>
      </c>
      <c r="C53" s="103" t="s">
        <v>78</v>
      </c>
      <c r="D53" s="104"/>
      <c r="E53" s="105"/>
      <c r="F53" s="106"/>
      <c r="G53" s="106"/>
      <c r="H53" s="106"/>
      <c r="I53" s="106"/>
      <c r="J53" s="106"/>
      <c r="K53" s="106"/>
      <c r="L53" s="106"/>
      <c r="M53" s="106"/>
      <c r="N53" s="91"/>
      <c r="O53" s="91"/>
      <c r="P53" s="91"/>
      <c r="Q53" s="91"/>
      <c r="R53" s="92" t="s">
        <v>79</v>
      </c>
    </row>
    <row r="54" spans="1:18" ht="18" customHeight="1" x14ac:dyDescent="0.3">
      <c r="B54" s="107" t="str">
        <f>R51</f>
        <v>[P3a]</v>
      </c>
      <c r="C54" s="77" t="s">
        <v>198</v>
      </c>
      <c r="D54" s="97"/>
      <c r="E54"/>
    </row>
    <row r="55" spans="1:18" ht="18" customHeight="1" x14ac:dyDescent="0.3">
      <c r="B55" s="107" t="str">
        <f>R52</f>
        <v>[P3b]</v>
      </c>
      <c r="C55" s="77" t="s">
        <v>202</v>
      </c>
      <c r="D55" s="97"/>
      <c r="E55"/>
    </row>
    <row r="56" spans="1:18" ht="18" customHeight="1" x14ac:dyDescent="0.3">
      <c r="B56" s="107" t="str">
        <f>R53</f>
        <v>[P3c]</v>
      </c>
      <c r="C56" s="77" t="s">
        <v>82</v>
      </c>
      <c r="D56" s="97"/>
      <c r="E56"/>
    </row>
    <row r="57" spans="1:18" ht="24" customHeight="1" x14ac:dyDescent="0.3">
      <c r="A57" s="80" t="s">
        <v>83</v>
      </c>
      <c r="B57" s="81" t="s">
        <v>84</v>
      </c>
      <c r="C57" s="82"/>
      <c r="D57" s="82"/>
      <c r="E57" s="82"/>
      <c r="F57" s="83"/>
      <c r="G57" s="83"/>
      <c r="H57" s="83"/>
      <c r="I57" s="83"/>
      <c r="J57" s="83"/>
      <c r="K57" s="83"/>
      <c r="L57" s="83"/>
      <c r="M57" s="83"/>
      <c r="N57" s="83"/>
      <c r="O57" s="83"/>
      <c r="P57" s="83"/>
      <c r="Q57" s="83"/>
      <c r="R57" s="84" t="s">
        <v>20</v>
      </c>
    </row>
    <row r="58" spans="1:18" ht="18" customHeight="1" x14ac:dyDescent="0.3">
      <c r="B58" s="141">
        <v>129576</v>
      </c>
      <c r="C58" s="149"/>
      <c r="D58" s="67" t="s">
        <v>85</v>
      </c>
      <c r="R58" s="87" t="s">
        <v>86</v>
      </c>
    </row>
    <row r="59" spans="1:18" ht="18" customHeight="1" x14ac:dyDescent="0.3">
      <c r="B59" s="143">
        <v>334503000</v>
      </c>
      <c r="C59" s="148"/>
      <c r="D59" s="1" t="s">
        <v>87</v>
      </c>
      <c r="E59"/>
      <c r="R59" s="87" t="s">
        <v>88</v>
      </c>
    </row>
    <row r="60" spans="1:18" ht="18" customHeight="1" x14ac:dyDescent="0.3">
      <c r="B60" s="143">
        <v>2886267</v>
      </c>
      <c r="C60" s="148"/>
      <c r="D60" s="67" t="s">
        <v>112</v>
      </c>
      <c r="E60"/>
      <c r="R60" s="87" t="s">
        <v>114</v>
      </c>
    </row>
    <row r="61" spans="1:18" ht="18" customHeight="1" x14ac:dyDescent="0.3">
      <c r="B61" s="108"/>
      <c r="C61" s="147">
        <v>166</v>
      </c>
      <c r="D61" s="91" t="s">
        <v>89</v>
      </c>
      <c r="E61" s="105"/>
      <c r="F61" s="106"/>
      <c r="G61" s="106"/>
      <c r="H61" s="106"/>
      <c r="I61" s="106"/>
      <c r="J61" s="106"/>
      <c r="K61" s="106"/>
      <c r="L61" s="106"/>
      <c r="M61" s="106"/>
      <c r="N61" s="91"/>
      <c r="O61" s="91"/>
      <c r="P61" s="91"/>
      <c r="Q61" s="91"/>
      <c r="R61" s="91"/>
    </row>
    <row r="62" spans="1:18" ht="75" customHeight="1" x14ac:dyDescent="0.3">
      <c r="B62" s="109" t="str">
        <f>R58</f>
        <v>[P4a]</v>
      </c>
      <c r="C62" s="144" t="s">
        <v>90</v>
      </c>
      <c r="D62" s="144"/>
      <c r="E62" s="144"/>
      <c r="F62" s="144"/>
      <c r="G62" s="144"/>
      <c r="H62" s="144"/>
      <c r="I62" s="144"/>
      <c r="J62" s="144"/>
      <c r="K62" s="144"/>
      <c r="L62" s="144"/>
      <c r="M62" s="144"/>
      <c r="N62" s="144"/>
      <c r="O62" s="144"/>
      <c r="P62" s="144"/>
      <c r="Q62" s="144"/>
      <c r="R62" s="144"/>
    </row>
    <row r="63" spans="1:18" ht="18" customHeight="1" x14ac:dyDescent="0.3">
      <c r="B63" s="109" t="str">
        <f>R59</f>
        <v>[P4b]</v>
      </c>
      <c r="C63" s="77" t="s">
        <v>203</v>
      </c>
      <c r="D63" s="77"/>
      <c r="E63"/>
    </row>
    <row r="64" spans="1:18" ht="75" customHeight="1" x14ac:dyDescent="0.3">
      <c r="B64" s="109" t="str">
        <f>R60</f>
        <v>[P4c]</v>
      </c>
      <c r="C64" s="144" t="s">
        <v>115</v>
      </c>
      <c r="D64" s="144"/>
      <c r="E64" s="144"/>
      <c r="F64" s="144"/>
      <c r="G64" s="144"/>
      <c r="H64" s="144"/>
      <c r="I64" s="144"/>
      <c r="J64" s="144"/>
      <c r="K64" s="144"/>
      <c r="L64" s="144"/>
      <c r="M64" s="144"/>
      <c r="N64" s="144"/>
      <c r="O64" s="144"/>
      <c r="P64" s="144"/>
      <c r="Q64" s="144"/>
      <c r="R64" s="144"/>
    </row>
    <row r="65" spans="1:18" ht="24" customHeight="1" x14ac:dyDescent="0.3">
      <c r="A65" s="80" t="s">
        <v>190</v>
      </c>
      <c r="B65" s="81" t="s">
        <v>191</v>
      </c>
      <c r="C65" s="82"/>
      <c r="D65" s="82"/>
      <c r="E65" s="82"/>
      <c r="F65" s="83"/>
      <c r="G65" s="83"/>
      <c r="H65" s="83"/>
      <c r="I65" s="83"/>
      <c r="J65" s="83"/>
      <c r="K65" s="83"/>
      <c r="L65" s="83"/>
      <c r="M65" s="83"/>
      <c r="N65" s="83"/>
      <c r="O65" s="83"/>
      <c r="P65" s="83"/>
      <c r="Q65" s="83"/>
      <c r="R65" s="84" t="s">
        <v>20</v>
      </c>
    </row>
    <row r="66" spans="1:18" ht="24" customHeight="1" x14ac:dyDescent="0.3">
      <c r="A66" s="80"/>
      <c r="B66" s="262">
        <v>10.412132229149028</v>
      </c>
      <c r="C66" s="168" t="s">
        <v>192</v>
      </c>
      <c r="D66" s="82"/>
      <c r="E66" s="82"/>
      <c r="F66" s="83"/>
      <c r="G66" s="83"/>
      <c r="H66" s="83"/>
      <c r="I66" s="83"/>
      <c r="J66" s="83"/>
      <c r="K66" s="83"/>
      <c r="L66" s="83"/>
      <c r="M66" s="83"/>
      <c r="N66" s="83"/>
      <c r="O66" s="83"/>
      <c r="P66" s="83"/>
      <c r="Q66" s="83"/>
      <c r="R66" s="114" t="s">
        <v>193</v>
      </c>
    </row>
    <row r="67" spans="1:18" ht="24" customHeight="1" x14ac:dyDescent="0.3">
      <c r="A67" s="80"/>
      <c r="B67" s="263" t="str">
        <f>R66</f>
        <v>[P5a]</v>
      </c>
      <c r="C67" s="264" t="s">
        <v>201</v>
      </c>
      <c r="D67" s="259"/>
      <c r="E67" s="259"/>
      <c r="F67" s="260"/>
      <c r="G67" s="260"/>
      <c r="H67" s="260"/>
      <c r="I67" s="260"/>
      <c r="J67" s="260"/>
      <c r="K67" s="260"/>
      <c r="L67" s="260"/>
      <c r="M67" s="260"/>
      <c r="N67" s="260"/>
      <c r="O67" s="260"/>
      <c r="P67" s="260"/>
      <c r="Q67" s="260"/>
      <c r="R67" s="87"/>
    </row>
    <row r="68" spans="1:18" s="8" customFormat="1" ht="24" customHeight="1" x14ac:dyDescent="0.3">
      <c r="A68" s="79" t="s">
        <v>92</v>
      </c>
      <c r="B68" s="75"/>
      <c r="C68" s="75"/>
      <c r="D68" s="75"/>
      <c r="E68" s="75"/>
      <c r="F68" s="75"/>
      <c r="G68" s="75"/>
      <c r="H68" s="75"/>
      <c r="I68" s="75"/>
      <c r="J68" s="75"/>
      <c r="K68" s="75"/>
      <c r="L68" s="75"/>
      <c r="M68" s="75"/>
      <c r="N68" s="75"/>
      <c r="O68" s="75"/>
      <c r="P68" s="75"/>
      <c r="Q68" s="75"/>
      <c r="R68" s="75"/>
    </row>
    <row r="69" spans="1:18" s="8" customFormat="1" ht="30" customHeight="1" x14ac:dyDescent="0.3">
      <c r="A69" s="76" t="s">
        <v>93</v>
      </c>
      <c r="B69" s="145" t="s">
        <v>104</v>
      </c>
      <c r="C69" s="145"/>
      <c r="D69" s="145"/>
      <c r="E69" s="145"/>
      <c r="F69" s="145"/>
      <c r="G69" s="145"/>
      <c r="H69" s="145"/>
      <c r="I69" s="145"/>
      <c r="J69" s="145"/>
      <c r="K69" s="145"/>
      <c r="L69" s="145"/>
      <c r="M69" s="145"/>
      <c r="N69" s="145"/>
      <c r="O69" s="145"/>
      <c r="P69" s="145"/>
      <c r="Q69" s="145"/>
      <c r="R69" s="145"/>
    </row>
    <row r="70" spans="1:18" s="8" customFormat="1" ht="30" customHeight="1" x14ac:dyDescent="0.3">
      <c r="A70" s="76" t="s">
        <v>95</v>
      </c>
      <c r="B70" s="145" t="s">
        <v>108</v>
      </c>
      <c r="C70" s="145"/>
      <c r="D70" s="145"/>
      <c r="E70" s="145"/>
      <c r="F70" s="145"/>
      <c r="G70" s="145"/>
      <c r="H70" s="145"/>
      <c r="I70" s="145"/>
      <c r="J70" s="145"/>
      <c r="K70" s="145"/>
      <c r="L70" s="145"/>
      <c r="M70" s="145"/>
      <c r="N70" s="145"/>
      <c r="O70" s="145"/>
      <c r="P70" s="145"/>
      <c r="Q70" s="145"/>
      <c r="R70" s="145"/>
    </row>
    <row r="71" spans="1:18" s="8" customFormat="1" ht="30" customHeight="1" x14ac:dyDescent="0.3">
      <c r="A71" s="76" t="s">
        <v>97</v>
      </c>
      <c r="B71" s="145" t="s">
        <v>117</v>
      </c>
      <c r="C71" s="145"/>
      <c r="D71" s="145"/>
      <c r="E71" s="145"/>
      <c r="F71" s="145"/>
      <c r="G71" s="145"/>
      <c r="H71" s="145"/>
      <c r="I71" s="145"/>
      <c r="J71" s="145"/>
      <c r="K71" s="145"/>
      <c r="L71" s="145"/>
      <c r="M71" s="145"/>
      <c r="N71" s="145"/>
      <c r="O71" s="145"/>
      <c r="P71" s="145"/>
      <c r="Q71" s="145"/>
      <c r="R71" s="145"/>
    </row>
    <row r="72" spans="1:18" s="8" customFormat="1" ht="30" customHeight="1" x14ac:dyDescent="0.3">
      <c r="A72" s="76" t="s">
        <v>99</v>
      </c>
      <c r="B72" s="145" t="s">
        <v>110</v>
      </c>
      <c r="C72" s="145"/>
      <c r="D72" s="145"/>
      <c r="E72" s="145"/>
      <c r="F72" s="145"/>
      <c r="G72" s="145"/>
      <c r="H72" s="145"/>
      <c r="I72" s="145"/>
      <c r="J72" s="145"/>
      <c r="K72" s="145"/>
      <c r="L72" s="145"/>
      <c r="M72" s="145"/>
      <c r="N72" s="145"/>
      <c r="O72" s="145"/>
      <c r="P72" s="145"/>
      <c r="Q72" s="145"/>
      <c r="R72" s="145"/>
    </row>
    <row r="73" spans="1:18" s="8" customFormat="1" ht="30" customHeight="1" x14ac:dyDescent="0.3">
      <c r="A73" s="76" t="s">
        <v>101</v>
      </c>
      <c r="B73" s="145" t="s">
        <v>94</v>
      </c>
      <c r="C73" s="145"/>
      <c r="D73" s="145"/>
      <c r="E73" s="145"/>
      <c r="F73" s="145"/>
      <c r="G73" s="145"/>
      <c r="H73" s="145"/>
      <c r="I73" s="145"/>
      <c r="J73" s="145"/>
      <c r="K73" s="145"/>
      <c r="L73" s="145"/>
      <c r="M73" s="145"/>
      <c r="N73" s="145"/>
      <c r="O73" s="145"/>
      <c r="P73" s="145"/>
      <c r="Q73" s="145"/>
      <c r="R73" s="145"/>
    </row>
    <row r="74" spans="1:18" s="8" customFormat="1" ht="18" customHeight="1" x14ac:dyDescent="0.3">
      <c r="A74" s="76" t="s">
        <v>103</v>
      </c>
      <c r="B74" s="110" t="s">
        <v>100</v>
      </c>
      <c r="C74" s="111"/>
      <c r="D74" s="111"/>
    </row>
    <row r="75" spans="1:18" s="8" customFormat="1" ht="30" customHeight="1" x14ac:dyDescent="0.3">
      <c r="A75" s="76" t="s">
        <v>105</v>
      </c>
      <c r="B75" s="145" t="s">
        <v>102</v>
      </c>
      <c r="C75" s="145"/>
      <c r="D75" s="145"/>
      <c r="E75" s="145"/>
      <c r="F75" s="145"/>
      <c r="G75" s="145"/>
      <c r="H75" s="145"/>
      <c r="I75" s="145"/>
      <c r="J75" s="145"/>
      <c r="K75" s="145"/>
      <c r="L75" s="145"/>
      <c r="M75" s="145"/>
      <c r="N75" s="145"/>
      <c r="O75" s="145"/>
      <c r="P75" s="145"/>
      <c r="Q75" s="145"/>
      <c r="R75" s="145"/>
    </row>
    <row r="76" spans="1:18" s="8" customFormat="1" ht="30" customHeight="1" x14ac:dyDescent="0.3">
      <c r="A76" s="76" t="s">
        <v>107</v>
      </c>
      <c r="B76" s="145" t="s">
        <v>106</v>
      </c>
      <c r="C76" s="145"/>
      <c r="D76" s="145"/>
      <c r="E76" s="145"/>
      <c r="F76" s="145"/>
      <c r="G76" s="145"/>
      <c r="H76" s="145"/>
      <c r="I76" s="145"/>
      <c r="J76" s="145"/>
      <c r="K76" s="145"/>
      <c r="L76" s="145"/>
      <c r="M76" s="145"/>
      <c r="N76" s="145"/>
      <c r="O76" s="145"/>
      <c r="P76" s="145"/>
      <c r="Q76" s="145"/>
      <c r="R76" s="145"/>
    </row>
    <row r="77" spans="1:18" s="8" customFormat="1" ht="45" customHeight="1" x14ac:dyDescent="0.3">
      <c r="A77" s="76" t="s">
        <v>109</v>
      </c>
      <c r="B77" s="145" t="s">
        <v>186</v>
      </c>
      <c r="C77" s="145"/>
      <c r="D77" s="145"/>
      <c r="E77" s="145"/>
      <c r="F77" s="145"/>
      <c r="G77" s="145"/>
      <c r="H77" s="145"/>
      <c r="I77" s="145"/>
      <c r="J77" s="145"/>
      <c r="K77" s="145"/>
      <c r="L77" s="145"/>
      <c r="M77" s="145"/>
      <c r="N77" s="145"/>
      <c r="O77" s="145"/>
      <c r="P77" s="145"/>
      <c r="Q77" s="145"/>
      <c r="R77" s="145"/>
    </row>
    <row r="78" spans="1:18" s="8" customFormat="1" ht="30" customHeight="1" x14ac:dyDescent="0.3">
      <c r="A78" s="76" t="s">
        <v>204</v>
      </c>
      <c r="B78" s="145" t="s">
        <v>194</v>
      </c>
      <c r="C78" s="145"/>
      <c r="D78" s="145"/>
      <c r="E78" s="145"/>
      <c r="F78" s="145"/>
      <c r="G78" s="145"/>
      <c r="H78" s="145"/>
      <c r="I78" s="145"/>
      <c r="J78" s="145"/>
      <c r="K78" s="145"/>
      <c r="L78" s="145"/>
      <c r="M78" s="145"/>
      <c r="N78" s="145"/>
      <c r="O78" s="145"/>
      <c r="P78" s="145"/>
      <c r="Q78" s="145"/>
      <c r="R78" s="145"/>
    </row>
    <row r="79" spans="1:18" ht="24" customHeight="1" x14ac:dyDescent="0.3"/>
  </sheetData>
  <mergeCells count="40">
    <mergeCell ref="B24:R24"/>
    <mergeCell ref="B77:R77"/>
    <mergeCell ref="B78:R78"/>
    <mergeCell ref="A1:T1"/>
    <mergeCell ref="B59:C59"/>
    <mergeCell ref="B60:C60"/>
    <mergeCell ref="C62:R62"/>
    <mergeCell ref="B76:R76"/>
    <mergeCell ref="B69:R69"/>
    <mergeCell ref="B70:R70"/>
    <mergeCell ref="B71:R71"/>
    <mergeCell ref="B72:R72"/>
    <mergeCell ref="B73:R73"/>
    <mergeCell ref="B75:R75"/>
    <mergeCell ref="C64:R64"/>
    <mergeCell ref="B26:R26"/>
    <mergeCell ref="B27:R27"/>
    <mergeCell ref="C34:P34"/>
    <mergeCell ref="C35:P35"/>
    <mergeCell ref="B37:C37"/>
    <mergeCell ref="B48:C48"/>
    <mergeCell ref="B28:R28"/>
    <mergeCell ref="C49:R49"/>
    <mergeCell ref="B58:C58"/>
    <mergeCell ref="O3:O4"/>
    <mergeCell ref="P3:R3"/>
    <mergeCell ref="H13:J13"/>
    <mergeCell ref="L13:N13"/>
    <mergeCell ref="P13:R13"/>
    <mergeCell ref="B17:R17"/>
    <mergeCell ref="B25:R25"/>
    <mergeCell ref="A2:R2"/>
    <mergeCell ref="A3:A4"/>
    <mergeCell ref="B3:B4"/>
    <mergeCell ref="C3:E3"/>
    <mergeCell ref="F3:F4"/>
    <mergeCell ref="G3:G4"/>
    <mergeCell ref="H3:J3"/>
    <mergeCell ref="K3:K4"/>
    <mergeCell ref="L3:N3"/>
  </mergeCells>
  <conditionalFormatting sqref="E9 L6:N9">
    <cfRule type="expression" dxfId="61" priority="45">
      <formula>#REF!="Yes"</formula>
    </cfRule>
    <cfRule type="expression" dxfId="60" priority="46">
      <formula>$A6=1</formula>
    </cfRule>
  </conditionalFormatting>
  <conditionalFormatting sqref="A6:A7 H6 H9">
    <cfRule type="expression" dxfId="59" priority="43">
      <formula>#REF!="Yes"</formula>
    </cfRule>
    <cfRule type="expression" dxfId="58" priority="44">
      <formula>$A6=1</formula>
    </cfRule>
  </conditionalFormatting>
  <conditionalFormatting sqref="D9">
    <cfRule type="expression" dxfId="57" priority="41">
      <formula>#REF!="Yes"</formula>
    </cfRule>
    <cfRule type="expression" dxfId="56" priority="42">
      <formula>$A9=1</formula>
    </cfRule>
  </conditionalFormatting>
  <conditionalFormatting sqref="A8">
    <cfRule type="expression" dxfId="55" priority="39">
      <formula>#REF!="Yes"</formula>
    </cfRule>
    <cfRule type="expression" dxfId="54" priority="40">
      <formula>$A8=1</formula>
    </cfRule>
  </conditionalFormatting>
  <conditionalFormatting sqref="B8">
    <cfRule type="expression" dxfId="53" priority="35">
      <formula>#REF!="Yes"</formula>
    </cfRule>
    <cfRule type="expression" dxfId="52" priority="36">
      <formula>$A8=1</formula>
    </cfRule>
  </conditionalFormatting>
  <conditionalFormatting sqref="B6:B7">
    <cfRule type="expression" dxfId="51" priority="37">
      <formula>#REF!="Yes"</formula>
    </cfRule>
    <cfRule type="expression" dxfId="50" priority="38">
      <formula>$A6=1</formula>
    </cfRule>
  </conditionalFormatting>
  <conditionalFormatting sqref="K6:K9">
    <cfRule type="expression" dxfId="49" priority="33">
      <formula>#REF!="Yes"</formula>
    </cfRule>
    <cfRule type="expression" dxfId="48" priority="34">
      <formula>$A6=1</formula>
    </cfRule>
  </conditionalFormatting>
  <conditionalFormatting sqref="I9:J9">
    <cfRule type="expression" dxfId="47" priority="31">
      <formula>#REF!="Yes"</formula>
    </cfRule>
    <cfRule type="expression" dxfId="46" priority="32">
      <formula>$A9=1</formula>
    </cfRule>
  </conditionalFormatting>
  <conditionalFormatting sqref="A12">
    <cfRule type="expression" dxfId="45" priority="15">
      <formula>#REF!="Yes"</formula>
    </cfRule>
    <cfRule type="expression" dxfId="44" priority="16">
      <formula>$A12=1</formula>
    </cfRule>
  </conditionalFormatting>
  <conditionalFormatting sqref="K10:K12">
    <cfRule type="expression" dxfId="43" priority="13">
      <formula>#REF!="Yes"</formula>
    </cfRule>
    <cfRule type="expression" dxfId="42" priority="14">
      <formula>$A10=1</formula>
    </cfRule>
  </conditionalFormatting>
  <conditionalFormatting sqref="I6:J6">
    <cfRule type="expression" dxfId="41" priority="29">
      <formula>#REF!="Yes"</formula>
    </cfRule>
    <cfRule type="expression" dxfId="40" priority="30">
      <formula>$A6=1</formula>
    </cfRule>
  </conditionalFormatting>
  <conditionalFormatting sqref="H7:H8">
    <cfRule type="expression" dxfId="39" priority="27">
      <formula>#REF!="Yes"</formula>
    </cfRule>
    <cfRule type="expression" dxfId="38" priority="28">
      <formula>$A7=1</formula>
    </cfRule>
  </conditionalFormatting>
  <conditionalFormatting sqref="I7:J8">
    <cfRule type="expression" dxfId="37" priority="25">
      <formula>#REF!="Yes"</formula>
    </cfRule>
    <cfRule type="expression" dxfId="36" priority="26">
      <formula>$A7=1</formula>
    </cfRule>
  </conditionalFormatting>
  <conditionalFormatting sqref="H11:H12">
    <cfRule type="expression" dxfId="35" priority="9">
      <formula>#REF!="Yes"</formula>
    </cfRule>
    <cfRule type="expression" dxfId="34" priority="10">
      <formula>$A11=1</formula>
    </cfRule>
  </conditionalFormatting>
  <conditionalFormatting sqref="I11:J12">
    <cfRule type="expression" dxfId="33" priority="7">
      <formula>#REF!="Yes"</formula>
    </cfRule>
    <cfRule type="expression" dxfId="32" priority="8">
      <formula>$A11=1</formula>
    </cfRule>
  </conditionalFormatting>
  <conditionalFormatting sqref="B58">
    <cfRule type="expression" dxfId="31" priority="23">
      <formula>#REF!="Yes"</formula>
    </cfRule>
    <cfRule type="expression" dxfId="30" priority="24">
      <formula>$A58=1</formula>
    </cfRule>
  </conditionalFormatting>
  <conditionalFormatting sqref="P6:R9">
    <cfRule type="expression" dxfId="29" priority="21">
      <formula>#REF!="Yes"</formula>
    </cfRule>
    <cfRule type="expression" dxfId="28" priority="22">
      <formula>$A6=1</formula>
    </cfRule>
  </conditionalFormatting>
  <conditionalFormatting sqref="L10:N12">
    <cfRule type="expression" dxfId="27" priority="19">
      <formula>#REF!="Yes"</formula>
    </cfRule>
    <cfRule type="expression" dxfId="26" priority="20">
      <formula>$A10=1</formula>
    </cfRule>
  </conditionalFormatting>
  <conditionalFormatting sqref="A10:A11 H10">
    <cfRule type="expression" dxfId="25" priority="17">
      <formula>#REF!="Yes"</formula>
    </cfRule>
    <cfRule type="expression" dxfId="24" priority="18">
      <formula>$A10=1</formula>
    </cfRule>
  </conditionalFormatting>
  <conditionalFormatting sqref="I10:J10">
    <cfRule type="expression" dxfId="23" priority="11">
      <formula>#REF!="Yes"</formula>
    </cfRule>
    <cfRule type="expression" dxfId="22" priority="12">
      <formula>$A10=1</formula>
    </cfRule>
  </conditionalFormatting>
  <conditionalFormatting sqref="P10:R12">
    <cfRule type="expression" dxfId="21" priority="5">
      <formula>#REF!="Yes"</formula>
    </cfRule>
    <cfRule type="expression" dxfId="20" priority="6">
      <formula>$A10=1</formula>
    </cfRule>
  </conditionalFormatting>
  <conditionalFormatting sqref="B12">
    <cfRule type="expression" dxfId="19" priority="1">
      <formula>#REF!="Yes"</formula>
    </cfRule>
    <cfRule type="expression" dxfId="18" priority="2">
      <formula>$A12=1</formula>
    </cfRule>
  </conditionalFormatting>
  <conditionalFormatting sqref="B10:B11">
    <cfRule type="expression" dxfId="17" priority="3">
      <formula>#REF!="Yes"</formula>
    </cfRule>
    <cfRule type="expression" dxfId="16" priority="4">
      <formula>$A10=1</formula>
    </cfRule>
  </conditionalFormatting>
  <pageMargins left="0.7" right="0.7" top="0.75" bottom="0.75" header="0.3" footer="0.3"/>
  <pageSetup orientation="portrait"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47" id="{8E94494B-E776-4387-B7E4-2CE15009FEBF}">
            <x14:iconSet showValue="0" custom="1">
              <x14:cfvo type="percent">
                <xm:f>0</xm:f>
              </x14:cfvo>
              <x14:cfvo type="num">
                <xm:f>-1</xm:f>
              </x14:cfvo>
              <x14:cfvo type="num">
                <xm:f>1</xm:f>
              </x14:cfvo>
              <x14:cfIcon iconSet="NoIcons" iconId="0"/>
              <x14:cfIcon iconSet="NoIcons" iconId="0"/>
              <x14:cfIcon iconSet="3Flags" iconId="0"/>
            </x14:iconSet>
          </x14:cfRule>
          <xm:sqref>A13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F8640-D9AF-4D35-BAF4-934D974DE555}">
  <dimension ref="A1:M36"/>
  <sheetViews>
    <sheetView workbookViewId="0">
      <selection activeCell="J21" sqref="J21"/>
    </sheetView>
  </sheetViews>
  <sheetFormatPr defaultRowHeight="14.4" x14ac:dyDescent="0.3"/>
  <sheetData>
    <row r="1" spans="1:2" x14ac:dyDescent="0.3">
      <c r="A1" t="s">
        <v>364</v>
      </c>
    </row>
    <row r="2" spans="1:2" x14ac:dyDescent="0.3">
      <c r="A2" t="s">
        <v>365</v>
      </c>
    </row>
    <row r="4" spans="1:2" x14ac:dyDescent="0.3">
      <c r="A4" t="s">
        <v>59</v>
      </c>
      <c r="B4" t="s">
        <v>366</v>
      </c>
    </row>
    <row r="5" spans="1:2" x14ac:dyDescent="0.3">
      <c r="A5" t="s">
        <v>61</v>
      </c>
      <c r="B5">
        <v>1.5</v>
      </c>
    </row>
    <row r="6" spans="1:2" x14ac:dyDescent="0.3">
      <c r="A6" t="s">
        <v>62</v>
      </c>
      <c r="B6">
        <v>5.2</v>
      </c>
    </row>
    <row r="7" spans="1:2" x14ac:dyDescent="0.3">
      <c r="A7" t="s">
        <v>63</v>
      </c>
      <c r="B7">
        <v>20.6</v>
      </c>
    </row>
    <row r="8" spans="1:2" x14ac:dyDescent="0.3">
      <c r="A8" t="s">
        <v>64</v>
      </c>
      <c r="B8">
        <v>17.100000000000001</v>
      </c>
    </row>
    <row r="9" spans="1:2" x14ac:dyDescent="0.3">
      <c r="A9" t="s">
        <v>65</v>
      </c>
      <c r="B9">
        <v>16</v>
      </c>
    </row>
    <row r="10" spans="1:2" x14ac:dyDescent="0.3">
      <c r="A10" t="s">
        <v>66</v>
      </c>
      <c r="B10">
        <v>22.3</v>
      </c>
    </row>
    <row r="11" spans="1:2" x14ac:dyDescent="0.3">
      <c r="A11" t="s">
        <v>67</v>
      </c>
      <c r="B11">
        <v>8.3000000000000007</v>
      </c>
    </row>
    <row r="12" spans="1:2" x14ac:dyDescent="0.3">
      <c r="A12" t="s">
        <v>68</v>
      </c>
      <c r="B12">
        <v>5</v>
      </c>
    </row>
    <row r="13" spans="1:2" x14ac:dyDescent="0.3">
      <c r="A13" t="s">
        <v>69</v>
      </c>
      <c r="B13">
        <v>4.0999999999999996</v>
      </c>
    </row>
    <row r="15" spans="1:2" x14ac:dyDescent="0.3">
      <c r="A15" t="s">
        <v>367</v>
      </c>
    </row>
    <row r="16" spans="1:2" x14ac:dyDescent="0.3">
      <c r="A16" t="s">
        <v>368</v>
      </c>
    </row>
    <row r="17" spans="1:13" x14ac:dyDescent="0.3">
      <c r="A17" t="s">
        <v>369</v>
      </c>
      <c r="B17" s="279">
        <v>2938248</v>
      </c>
    </row>
    <row r="19" spans="1:13" ht="90" customHeight="1" x14ac:dyDescent="0.3">
      <c r="A19" s="145" t="s">
        <v>370</v>
      </c>
      <c r="B19" s="145"/>
      <c r="C19" s="145"/>
      <c r="D19" s="145"/>
      <c r="E19" s="145"/>
      <c r="F19" s="145"/>
      <c r="G19" s="145"/>
      <c r="H19" s="145"/>
      <c r="I19" s="145"/>
      <c r="J19" s="145"/>
      <c r="K19" s="145"/>
      <c r="L19" s="145"/>
      <c r="M19" s="145"/>
    </row>
    <row r="21" spans="1:13" x14ac:dyDescent="0.3">
      <c r="A21" t="s">
        <v>371</v>
      </c>
    </row>
    <row r="22" spans="1:13" x14ac:dyDescent="0.3">
      <c r="A22" t="s">
        <v>365</v>
      </c>
    </row>
    <row r="24" spans="1:13" x14ac:dyDescent="0.3">
      <c r="A24" t="s">
        <v>59</v>
      </c>
      <c r="B24" t="s">
        <v>366</v>
      </c>
    </row>
    <row r="25" spans="1:13" x14ac:dyDescent="0.3">
      <c r="A25" t="s">
        <v>61</v>
      </c>
      <c r="B25" t="s">
        <v>372</v>
      </c>
    </row>
    <row r="26" spans="1:13" x14ac:dyDescent="0.3">
      <c r="A26" t="s">
        <v>62</v>
      </c>
      <c r="B26" t="s">
        <v>372</v>
      </c>
    </row>
    <row r="27" spans="1:13" x14ac:dyDescent="0.3">
      <c r="A27" t="s">
        <v>63</v>
      </c>
      <c r="B27">
        <v>0.5</v>
      </c>
    </row>
    <row r="28" spans="1:13" x14ac:dyDescent="0.3">
      <c r="A28" t="s">
        <v>64</v>
      </c>
      <c r="B28">
        <v>1.3</v>
      </c>
    </row>
    <row r="29" spans="1:13" x14ac:dyDescent="0.3">
      <c r="A29" t="s">
        <v>65</v>
      </c>
      <c r="B29">
        <v>3.1</v>
      </c>
    </row>
    <row r="30" spans="1:13" x14ac:dyDescent="0.3">
      <c r="A30" t="s">
        <v>66</v>
      </c>
      <c r="B30">
        <v>15.5</v>
      </c>
    </row>
    <row r="31" spans="1:13" x14ac:dyDescent="0.3">
      <c r="A31" t="s">
        <v>67</v>
      </c>
      <c r="B31">
        <v>20.9</v>
      </c>
    </row>
    <row r="32" spans="1:13" x14ac:dyDescent="0.3">
      <c r="A32" t="s">
        <v>68</v>
      </c>
      <c r="B32">
        <v>26.4</v>
      </c>
    </row>
    <row r="33" spans="1:2" x14ac:dyDescent="0.3">
      <c r="A33" t="s">
        <v>69</v>
      </c>
      <c r="B33">
        <v>32.4</v>
      </c>
    </row>
    <row r="35" spans="1:2" x14ac:dyDescent="0.3">
      <c r="A35" t="s">
        <v>373</v>
      </c>
    </row>
    <row r="36" spans="1:2" x14ac:dyDescent="0.3">
      <c r="A36" t="s">
        <v>368</v>
      </c>
    </row>
  </sheetData>
  <mergeCells count="1">
    <mergeCell ref="A19:M1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2DFD-C8A9-41D1-B39A-92BA2582B3F1}">
  <dimension ref="A1"/>
  <sheetViews>
    <sheetView topLeftCell="A11" workbookViewId="0">
      <selection activeCell="V58" sqref="V58"/>
    </sheetView>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3D4A-36F5-47E3-8160-00EBCF6ACF12}">
  <dimension ref="A1:O73"/>
  <sheetViews>
    <sheetView workbookViewId="0">
      <selection sqref="A1:O1"/>
    </sheetView>
  </sheetViews>
  <sheetFormatPr defaultRowHeight="14.4" x14ac:dyDescent="0.3"/>
  <sheetData>
    <row r="1" spans="1:15" ht="30" customHeight="1" x14ac:dyDescent="0.3">
      <c r="A1" s="278" t="s">
        <v>503</v>
      </c>
      <c r="B1" s="278"/>
      <c r="C1" s="278"/>
      <c r="D1" s="278"/>
      <c r="E1" s="278"/>
      <c r="F1" s="278"/>
      <c r="G1" s="278"/>
      <c r="H1" s="278"/>
      <c r="I1" s="278"/>
      <c r="J1" s="278"/>
      <c r="K1" s="278"/>
      <c r="L1" s="278"/>
      <c r="M1" s="278"/>
      <c r="N1" s="278"/>
      <c r="O1" s="278"/>
    </row>
    <row r="3" spans="1:15" x14ac:dyDescent="0.3">
      <c r="A3" t="s">
        <v>374</v>
      </c>
    </row>
    <row r="73" spans="1:1" x14ac:dyDescent="0.3">
      <c r="A73" t="s">
        <v>375</v>
      </c>
    </row>
  </sheetData>
  <mergeCells count="1">
    <mergeCell ref="A1:O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05E3-F1CC-4B92-8237-157C24E60B1A}">
  <dimension ref="A1"/>
  <sheetViews>
    <sheetView workbookViewId="0">
      <selection activeCell="D126" sqref="D126"/>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5EE99-3709-496C-A86A-1996CBC4B3B6}">
  <dimension ref="A1:S1"/>
  <sheetViews>
    <sheetView topLeftCell="A7" workbookViewId="0">
      <selection activeCell="D32" sqref="D32"/>
    </sheetView>
  </sheetViews>
  <sheetFormatPr defaultRowHeight="14.4" x14ac:dyDescent="0.3"/>
  <sheetData>
    <row r="1" spans="1:19" ht="30" customHeight="1" x14ac:dyDescent="0.3">
      <c r="A1" s="278" t="s">
        <v>376</v>
      </c>
      <c r="B1" s="278"/>
      <c r="C1" s="278"/>
      <c r="D1" s="278"/>
      <c r="E1" s="278"/>
      <c r="F1" s="278"/>
      <c r="G1" s="278"/>
      <c r="H1" s="278"/>
      <c r="I1" s="278"/>
      <c r="J1" s="278"/>
      <c r="K1" s="278"/>
      <c r="L1" s="278"/>
      <c r="M1" s="278"/>
      <c r="N1" s="278"/>
      <c r="O1" s="278"/>
      <c r="P1" s="278"/>
      <c r="Q1" s="278"/>
      <c r="R1" s="278"/>
      <c r="S1" s="278"/>
    </row>
  </sheetData>
  <mergeCells count="1">
    <mergeCell ref="A1:S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B07FB-2530-47D9-8CBD-FEC8C8B85659}">
  <dimension ref="A1:Q1"/>
  <sheetViews>
    <sheetView topLeftCell="A19" workbookViewId="0">
      <selection activeCell="S18" sqref="S18"/>
    </sheetView>
  </sheetViews>
  <sheetFormatPr defaultRowHeight="14.4" x14ac:dyDescent="0.3"/>
  <sheetData>
    <row r="1" spans="1:17" ht="45" customHeight="1" x14ac:dyDescent="0.3">
      <c r="A1" s="278" t="s">
        <v>377</v>
      </c>
      <c r="B1" s="278"/>
      <c r="C1" s="278"/>
      <c r="D1" s="278"/>
      <c r="E1" s="278"/>
      <c r="F1" s="278"/>
      <c r="G1" s="278"/>
      <c r="H1" s="278"/>
      <c r="I1" s="278"/>
      <c r="J1" s="278"/>
      <c r="K1" s="278"/>
      <c r="L1" s="278"/>
      <c r="M1" s="278"/>
      <c r="N1" s="278"/>
      <c r="O1" s="278"/>
      <c r="P1" s="278"/>
      <c r="Q1" s="278"/>
    </row>
  </sheetData>
  <mergeCells count="1">
    <mergeCell ref="A1:Q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677D-032C-4DD4-84B8-87E07F5BB00F}">
  <dimension ref="A1:U156"/>
  <sheetViews>
    <sheetView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12" sqref="K12"/>
    </sheetView>
  </sheetViews>
  <sheetFormatPr defaultRowHeight="14.4" x14ac:dyDescent="0.3"/>
  <cols>
    <col min="2" max="2" width="11.21875" customWidth="1"/>
    <col min="3" max="3" width="10.77734375" customWidth="1"/>
    <col min="4" max="4" width="11.33203125" customWidth="1"/>
    <col min="5" max="8" width="10.77734375" customWidth="1"/>
    <col min="9" max="9" width="11.6640625" customWidth="1"/>
    <col min="10" max="15" width="10.77734375" customWidth="1"/>
    <col min="16" max="16" width="13.5546875" bestFit="1" customWidth="1"/>
  </cols>
  <sheetData>
    <row r="1" spans="1:16" ht="21" customHeight="1" x14ac:dyDescent="0.3">
      <c r="A1" s="122" t="s">
        <v>395</v>
      </c>
      <c r="B1" s="122"/>
      <c r="C1" s="122"/>
      <c r="D1" s="122"/>
      <c r="E1" s="122"/>
      <c r="F1" s="122"/>
      <c r="G1" s="122"/>
      <c r="H1" s="122"/>
      <c r="I1" s="122"/>
      <c r="J1" s="122"/>
      <c r="K1" s="122"/>
      <c r="L1" s="122"/>
      <c r="M1" s="122"/>
      <c r="N1" s="122"/>
      <c r="O1" s="122"/>
      <c r="P1" s="313"/>
    </row>
    <row r="2" spans="1:16" ht="45" customHeight="1" x14ac:dyDescent="0.3">
      <c r="A2" s="123" t="s">
        <v>397</v>
      </c>
      <c r="B2" s="125" t="s">
        <v>398</v>
      </c>
      <c r="C2" s="125" t="s">
        <v>399</v>
      </c>
      <c r="D2" s="127" t="s">
        <v>400</v>
      </c>
      <c r="E2" s="129"/>
      <c r="F2" s="127" t="s">
        <v>401</v>
      </c>
      <c r="G2" s="128"/>
      <c r="H2" s="129"/>
      <c r="I2" s="125" t="s">
        <v>518</v>
      </c>
      <c r="J2" s="125" t="s">
        <v>402</v>
      </c>
      <c r="K2" s="128" t="s">
        <v>520</v>
      </c>
      <c r="L2" s="128"/>
      <c r="M2" s="128"/>
      <c r="N2" s="125" t="s">
        <v>522</v>
      </c>
      <c r="O2" s="125" t="s">
        <v>521</v>
      </c>
      <c r="P2" s="313"/>
    </row>
    <row r="3" spans="1:16" ht="45" customHeight="1" x14ac:dyDescent="0.3">
      <c r="A3" s="124"/>
      <c r="B3" s="126"/>
      <c r="C3" s="126"/>
      <c r="D3" s="116" t="s">
        <v>70</v>
      </c>
      <c r="E3" s="116" t="s">
        <v>403</v>
      </c>
      <c r="F3" s="116" t="s">
        <v>17</v>
      </c>
      <c r="G3" s="116" t="s">
        <v>13</v>
      </c>
      <c r="H3" s="119" t="s">
        <v>14</v>
      </c>
      <c r="I3" s="126"/>
      <c r="J3" s="126"/>
      <c r="K3" s="116" t="s">
        <v>17</v>
      </c>
      <c r="L3" s="116" t="s">
        <v>13</v>
      </c>
      <c r="M3" s="4" t="s">
        <v>14</v>
      </c>
      <c r="N3" s="126"/>
      <c r="O3" s="126"/>
      <c r="P3" s="313"/>
    </row>
    <row r="4" spans="1:16" s="1" customFormat="1" ht="24" customHeight="1" x14ac:dyDescent="0.3">
      <c r="A4" s="307" t="s">
        <v>163</v>
      </c>
      <c r="B4" s="308">
        <f>SUM(B5:B7)</f>
        <v>112.46135587378058</v>
      </c>
      <c r="C4" s="185">
        <f>C$59</f>
        <v>13393</v>
      </c>
      <c r="D4" s="309">
        <f>E78</f>
        <v>37062</v>
      </c>
      <c r="E4" s="231">
        <f>H78</f>
        <v>7698</v>
      </c>
      <c r="F4" s="231">
        <f>(F5*$B5+F6*$B6+F7*$B7)/$B4</f>
        <v>389.2342424361803</v>
      </c>
      <c r="G4" s="231">
        <f>(G5*$B5+G6*$B6+G7*$B7)/$B4</f>
        <v>583.36019562037882</v>
      </c>
      <c r="H4" s="310">
        <f>(H5*$B5+H6*$B6+H7*$B7)/$B4</f>
        <v>262.35302312169341</v>
      </c>
      <c r="I4" s="309">
        <f>SUM(I5:I7)</f>
        <v>8056.2284487064226</v>
      </c>
      <c r="J4" s="193">
        <f>(J5*$I5+J6*$I6+J7*$I7)/SUM(I5:I7)</f>
        <v>22.437306460193554</v>
      </c>
      <c r="K4" s="311">
        <f>(K5*$B5*F5+K6*$B6*F6+K7*$B7*F7)/($B4*F4)</f>
        <v>21.704185582240758</v>
      </c>
      <c r="L4" s="311">
        <f>(L5*$B5*G5+L6*$B6*G6+L7*$B7*G7)/($B4*G4)</f>
        <v>14.4816398105696</v>
      </c>
      <c r="M4" s="312">
        <f>(M5*$B5*H5+M6*$B6*H6+M7*$B7*H7)/($B4*H4)</f>
        <v>32.200933430369147</v>
      </c>
      <c r="N4" s="26">
        <f t="shared" ref="N4:N15" si="0">(10*J4*365*24*60/K4)/1000000</f>
        <v>5.4335364166473408</v>
      </c>
      <c r="O4" s="448">
        <f>100/Inventory_List_Table34367[[#This Row],[Column10]]</f>
        <v>18.404220075459268</v>
      </c>
      <c r="P4" s="313"/>
    </row>
    <row r="5" spans="1:16" s="1" customFormat="1" ht="24" customHeight="1" x14ac:dyDescent="0.3">
      <c r="A5" s="314" t="s">
        <v>404</v>
      </c>
      <c r="B5" s="308">
        <f>K$34/1000</f>
        <v>6.068111455108359</v>
      </c>
      <c r="C5" s="185">
        <f>C$54</f>
        <v>7742.5</v>
      </c>
      <c r="D5" s="309">
        <f>C34</f>
        <v>2744</v>
      </c>
      <c r="E5" s="231">
        <f>H67</f>
        <v>467</v>
      </c>
      <c r="F5" s="315">
        <f>$C5*H116</f>
        <v>122.95151330721259</v>
      </c>
      <c r="G5" s="315">
        <f>$C5*I116</f>
        <v>263.95683064173465</v>
      </c>
      <c r="H5" s="316">
        <f>$C5*J116</f>
        <v>57.4765409647814</v>
      </c>
      <c r="I5" s="231">
        <f>E5*E$97/G$78</f>
        <v>490.3243432224553</v>
      </c>
      <c r="J5" s="26">
        <f>F104</f>
        <v>26.797164257839661</v>
      </c>
      <c r="K5" s="311">
        <f>10*60*365*24*$I5*$J5/($B5*F5*1000000)</f>
        <v>92.563596961763551</v>
      </c>
      <c r="L5" s="311">
        <f t="shared" ref="L5:M7" si="1">10*60*365*24*$I5*$J5/($B5*G5*1000000)</f>
        <v>43.116271308223126</v>
      </c>
      <c r="M5" s="312">
        <f t="shared" si="1"/>
        <v>198.00833753341752</v>
      </c>
      <c r="N5" s="26">
        <f t="shared" si="0"/>
        <v>1.5216121667936728</v>
      </c>
      <c r="O5" s="448">
        <f>100/Inventory_List_Table34367[[#This Row],[Column10]]</f>
        <v>65.719768928188245</v>
      </c>
      <c r="P5" s="313"/>
    </row>
    <row r="6" spans="1:16" s="1" customFormat="1" ht="24" customHeight="1" x14ac:dyDescent="0.3">
      <c r="A6" s="314" t="s">
        <v>405</v>
      </c>
      <c r="B6" s="308">
        <f>(K36+K37)/1000</f>
        <v>27.271074262814945</v>
      </c>
      <c r="C6" s="185">
        <f>C$55</f>
        <v>13291</v>
      </c>
      <c r="D6" s="309">
        <f>C36+C37</f>
        <v>11390</v>
      </c>
      <c r="E6" s="317">
        <f>H69+H70</f>
        <v>3212</v>
      </c>
      <c r="F6" s="315">
        <f>$C6*H117</f>
        <v>561.47990684617218</v>
      </c>
      <c r="G6" s="315">
        <f>$C6*I117</f>
        <v>921.98288542079104</v>
      </c>
      <c r="H6" s="316">
        <f>$C6*J117</f>
        <v>343.41183512146245</v>
      </c>
      <c r="I6" s="231">
        <f>E6*E$97/G$78</f>
        <v>3372.4235341124763</v>
      </c>
      <c r="J6" s="26">
        <f>G104</f>
        <v>24.533603792523884</v>
      </c>
      <c r="K6" s="311">
        <f t="shared" ref="K6:K7" si="2">10*60*365*24*$I6*$J6/($B6*F6*1000000)</f>
        <v>28.400262224870431</v>
      </c>
      <c r="L6" s="311">
        <f t="shared" si="1"/>
        <v>17.295523420859716</v>
      </c>
      <c r="M6" s="312">
        <f t="shared" si="1"/>
        <v>46.434557454279506</v>
      </c>
      <c r="N6" s="26">
        <f t="shared" si="0"/>
        <v>4.5404024974313009</v>
      </c>
      <c r="O6" s="448">
        <f>100/Inventory_List_Table34367[[#This Row],[Column10]]</f>
        <v>22.024479119763999</v>
      </c>
      <c r="P6" s="313"/>
    </row>
    <row r="7" spans="1:16" s="1" customFormat="1" ht="24" customHeight="1" x14ac:dyDescent="0.3">
      <c r="A7" s="318" t="s">
        <v>406</v>
      </c>
      <c r="B7" s="308">
        <f>SUM(K39:K43)/1000</f>
        <v>79.122170155857276</v>
      </c>
      <c r="C7" s="185">
        <f>1000000*(D$56+D$57+D$58)/SUM(K$39:K$43)</f>
        <v>13885.573870592978</v>
      </c>
      <c r="D7" s="309">
        <f>SUM(C39:C43)</f>
        <v>22761</v>
      </c>
      <c r="E7" s="317">
        <f>SUM(H72:H76)</f>
        <v>3994</v>
      </c>
      <c r="F7" s="315">
        <f>$C7*H118</f>
        <v>350.28825522958869</v>
      </c>
      <c r="G7" s="315">
        <f>$C7*I118</f>
        <v>491.14294110850949</v>
      </c>
      <c r="H7" s="316">
        <f>$C7*J118</f>
        <v>250.12702437144318</v>
      </c>
      <c r="I7" s="231">
        <f>E7*E$97/G$78</f>
        <v>4193.4805713714914</v>
      </c>
      <c r="J7" s="26">
        <f>AVERAGE(H104,G104)</f>
        <v>20.241672854047895</v>
      </c>
      <c r="K7" s="311">
        <f t="shared" si="2"/>
        <v>16.097284754247994</v>
      </c>
      <c r="L7" s="311">
        <f t="shared" si="1"/>
        <v>11.480750955664488</v>
      </c>
      <c r="M7" s="312">
        <f t="shared" si="1"/>
        <v>22.543304965423612</v>
      </c>
      <c r="N7" s="26">
        <f t="shared" si="0"/>
        <v>6.6092036107393755</v>
      </c>
      <c r="O7" s="448">
        <f>100/Inventory_List_Table34367[[#This Row],[Column10]]</f>
        <v>15.130415991044485</v>
      </c>
      <c r="P7" s="313"/>
    </row>
    <row r="8" spans="1:16" s="1" customFormat="1" ht="24" customHeight="1" x14ac:dyDescent="0.3">
      <c r="A8" s="307" t="s">
        <v>164</v>
      </c>
      <c r="B8" s="308">
        <f>SUM(B9:B11)</f>
        <v>115.05190371275441</v>
      </c>
      <c r="C8" s="185">
        <f>E$59</f>
        <v>9854</v>
      </c>
      <c r="D8" s="309">
        <f>F78</f>
        <v>13269</v>
      </c>
      <c r="E8" s="231">
        <f>I78</f>
        <v>1918</v>
      </c>
      <c r="F8" s="231">
        <f>(F9*$B9+F10*$B10+F11*$B11)/$B8</f>
        <v>300.59149419653505</v>
      </c>
      <c r="G8" s="231">
        <f>(G9*$B9+G10*$B10+G11*$B11)/$B8</f>
        <v>440.66588879727846</v>
      </c>
      <c r="H8" s="310">
        <f>(H9*$B9+H10*$B10+H11*$B11)/$B8</f>
        <v>206.61899883384802</v>
      </c>
      <c r="I8" s="309">
        <f>SUM(I9:I11)</f>
        <v>2005.3950654280291</v>
      </c>
      <c r="J8" s="193">
        <f>(J9*$I9+J10*$I10+J11*$I11)/SUM(I9:I11)</f>
        <v>22.62526042519551</v>
      </c>
      <c r="K8" s="311">
        <f>(K9*$B9*F9+K10*$B10*F10+K11*$B11*F11)/($B8*F8)</f>
        <v>6.8957004738106393</v>
      </c>
      <c r="L8" s="311">
        <f>(L9*$B9*G9+L10*$B10*G10+L11*$B11*G11)/($B8*G8)</f>
        <v>4.703765282608587</v>
      </c>
      <c r="M8" s="312">
        <f>(M9*$B9*H9+M10*$B10*H10+M11*$B11*H11)/($B8*H8)</f>
        <v>10.031937627484684</v>
      </c>
      <c r="N8" s="26">
        <f t="shared" si="0"/>
        <v>17.245292084026968</v>
      </c>
      <c r="O8" s="448">
        <f>100/Inventory_List_Table34367[[#This Row],[Column10]]</f>
        <v>5.798684041578082</v>
      </c>
      <c r="P8" s="313"/>
    </row>
    <row r="9" spans="1:16" s="1" customFormat="1" ht="24" customHeight="1" x14ac:dyDescent="0.3">
      <c r="A9" s="314" t="s">
        <v>404</v>
      </c>
      <c r="B9" s="308">
        <f>L$34/1000</f>
        <v>5.8934169278996871</v>
      </c>
      <c r="C9" s="185">
        <f>E$54</f>
        <v>6584.5</v>
      </c>
      <c r="D9" s="309">
        <f>E34</f>
        <v>1316</v>
      </c>
      <c r="E9" s="231">
        <f>I67</f>
        <v>155</v>
      </c>
      <c r="F9" s="315">
        <f>$C9*H120</f>
        <v>67.910985006548586</v>
      </c>
      <c r="G9" s="315">
        <f>$C9*I120</f>
        <v>145.41749399250165</v>
      </c>
      <c r="H9" s="316">
        <f>$C9*J120</f>
        <v>31.784760439810178</v>
      </c>
      <c r="I9" s="231">
        <f>E9*E$97/G$78</f>
        <v>162.74148436719608</v>
      </c>
      <c r="J9" s="26">
        <f>J5</f>
        <v>26.797164257839661</v>
      </c>
      <c r="K9" s="311">
        <f t="shared" ref="K9:M11" si="3">10*60*365*24*$I9*$J9/($B9*F9*1000000)</f>
        <v>57.271066669186773</v>
      </c>
      <c r="L9" s="311">
        <f t="shared" si="3"/>
        <v>26.745988003896823</v>
      </c>
      <c r="M9" s="312">
        <f t="shared" si="3"/>
        <v>122.36475896193399</v>
      </c>
      <c r="N9" s="26">
        <f t="shared" si="0"/>
        <v>2.4592853517600677</v>
      </c>
      <c r="O9" s="448">
        <f>100/Inventory_List_Table34367[[#This Row],[Column10]]</f>
        <v>40.662219180231261</v>
      </c>
      <c r="P9" s="313"/>
    </row>
    <row r="10" spans="1:16" s="1" customFormat="1" ht="24" customHeight="1" x14ac:dyDescent="0.3">
      <c r="A10" s="314" t="s">
        <v>405</v>
      </c>
      <c r="B10" s="308">
        <f>(L36+L37)/1000</f>
        <v>27.159583664477633</v>
      </c>
      <c r="C10" s="185">
        <f>E$55</f>
        <v>11026</v>
      </c>
      <c r="D10" s="309">
        <f>E36+E37</f>
        <v>4120</v>
      </c>
      <c r="E10" s="317">
        <f>I69+I70</f>
        <v>824</v>
      </c>
      <c r="F10" s="315">
        <f>$C10*H121</f>
        <v>294.6414064971824</v>
      </c>
      <c r="G10" s="315">
        <f>$C10*I121</f>
        <v>481.89211490587678</v>
      </c>
      <c r="H10" s="316">
        <f>$C10*J121</f>
        <v>180.64511901017093</v>
      </c>
      <c r="I10" s="231">
        <f>E10*E$97/G$78</f>
        <v>865.15472979722301</v>
      </c>
      <c r="J10" s="26">
        <f t="shared" ref="J10:J15" si="4">J6</f>
        <v>24.533603792523884</v>
      </c>
      <c r="K10" s="311">
        <f t="shared" si="3"/>
        <v>13.94098959398433</v>
      </c>
      <c r="L10" s="311">
        <f t="shared" si="3"/>
        <v>8.5238846100157133</v>
      </c>
      <c r="M10" s="312">
        <f t="shared" si="3"/>
        <v>22.738465364806537</v>
      </c>
      <c r="N10" s="26">
        <f t="shared" si="0"/>
        <v>9.2496031694298146</v>
      </c>
      <c r="O10" s="448">
        <f>100/Inventory_List_Table34367[[#This Row],[Column10]]</f>
        <v>10.81127462100241</v>
      </c>
      <c r="P10" s="313"/>
    </row>
    <row r="11" spans="1:16" s="1" customFormat="1" ht="24" customHeight="1" x14ac:dyDescent="0.3">
      <c r="A11" s="318" t="s">
        <v>406</v>
      </c>
      <c r="B11" s="308">
        <f>SUM(L39:L43)/1000</f>
        <v>81.998903120377094</v>
      </c>
      <c r="C11" s="185">
        <f>1000000*(F$56+F$57+F$58)/SUM(L$39:L$43)</f>
        <v>9709.0527813547124</v>
      </c>
      <c r="D11" s="309">
        <f>SUM(E39:E43)</f>
        <v>7776</v>
      </c>
      <c r="E11" s="317">
        <f>SUM(I72:I76)</f>
        <v>931</v>
      </c>
      <c r="F11" s="315">
        <f>$C11*H122</f>
        <v>319.28546567666331</v>
      </c>
      <c r="G11" s="315">
        <f>$C11*I122</f>
        <v>448.23104792873494</v>
      </c>
      <c r="H11" s="316">
        <f>$C11*J122</f>
        <v>227.78770666085259</v>
      </c>
      <c r="I11" s="231">
        <f>E11*E$97/G$78</f>
        <v>977.49885126361005</v>
      </c>
      <c r="J11" s="26">
        <f t="shared" si="4"/>
        <v>20.241672854047895</v>
      </c>
      <c r="K11" s="311">
        <f t="shared" si="3"/>
        <v>3.9721973880072912</v>
      </c>
      <c r="L11" s="311">
        <f t="shared" si="3"/>
        <v>2.8294891633459032</v>
      </c>
      <c r="M11" s="312">
        <f t="shared" si="3"/>
        <v>5.5677495128295984</v>
      </c>
      <c r="N11" s="26">
        <f t="shared" si="0"/>
        <v>26.783722491255123</v>
      </c>
      <c r="O11" s="448">
        <f>100/Inventory_List_Table34367[[#This Row],[Column10]]</f>
        <v>3.7336109658636873</v>
      </c>
      <c r="P11" s="313"/>
    </row>
    <row r="12" spans="1:16" s="1" customFormat="1" ht="24" customHeight="1" x14ac:dyDescent="0.3">
      <c r="A12" s="307" t="s">
        <v>70</v>
      </c>
      <c r="B12" s="308">
        <f>B4+B8</f>
        <v>227.51325958653499</v>
      </c>
      <c r="C12" s="309">
        <f>(C4*B4+C8*B8)/(B4+B8)</f>
        <v>11603.35183628684</v>
      </c>
      <c r="D12" s="309">
        <f>G45</f>
        <v>51490</v>
      </c>
      <c r="E12" s="231">
        <f>G78</f>
        <v>10011</v>
      </c>
      <c r="F12" s="231">
        <f>(F13*$B13+F14*$B14+F15*$B15)/$B12</f>
        <v>344.40820920262024</v>
      </c>
      <c r="G12" s="231">
        <f>(G13*$B13+G14*$B14+G15*$B15)/$B12</f>
        <v>511.20065784748147</v>
      </c>
      <c r="H12" s="310">
        <f>(H13*$B13+H14*$B14+H15*$B15)/$B12</f>
        <v>234.16870715020792</v>
      </c>
      <c r="I12" s="231">
        <f>E12*E$97/G$78</f>
        <v>10511</v>
      </c>
      <c r="J12" s="193">
        <f>(J13*$I13+J14*$I14+J15*$I15)/SUM(I13:I15)</f>
        <v>22.474301849441485</v>
      </c>
      <c r="K12" s="311">
        <f>(K13*$B13*F13+K14*$B14*F14+K15*$B15*F15)/($B12*F12)</f>
        <v>15.168352954190517</v>
      </c>
      <c r="L12" s="311">
        <f>(L13*$B13*G13+L14*$B14*G14+L15*$B15*G15)/($B12*G12)</f>
        <v>10.219285122799393</v>
      </c>
      <c r="M12" s="312">
        <f>(M13*$B13*H13+M14*$B14*H14+M15*$B15*H15)/($B12*H12)</f>
        <v>22.309151983125648</v>
      </c>
      <c r="N12" s="26">
        <f t="shared" si="0"/>
        <v>7.7875911034909304</v>
      </c>
      <c r="O12" s="448">
        <f>100/Inventory_List_Table34367[[#This Row],[Column10]]</f>
        <v>12.840941270680373</v>
      </c>
    </row>
    <row r="13" spans="1:16" s="1" customFormat="1" ht="24" customHeight="1" x14ac:dyDescent="0.3">
      <c r="A13" s="314" t="s">
        <v>404</v>
      </c>
      <c r="B13" s="308">
        <f>B5+B9</f>
        <v>11.961528383008046</v>
      </c>
      <c r="C13" s="309">
        <f>(C5*B5+C9*B9)/(B5+B9)</f>
        <v>7171.956120991822</v>
      </c>
      <c r="D13" s="309">
        <f>G34</f>
        <v>4061</v>
      </c>
      <c r="E13" s="231">
        <f>G67</f>
        <v>622</v>
      </c>
      <c r="F13" s="315">
        <f>(F5*$B5+F9*$B9)/$B13</f>
        <v>95.833174344069008</v>
      </c>
      <c r="G13" s="315">
        <f>(G5*$B5+G9*$B9)/$B13</f>
        <v>205.55277801055178</v>
      </c>
      <c r="H13" s="316">
        <f>(H5*$B5+H9*$B9)/$B13</f>
        <v>44.818261068974955</v>
      </c>
      <c r="I13" s="231">
        <f>E13*E$97/G$78</f>
        <v>653.06582758965135</v>
      </c>
      <c r="J13" s="26">
        <f t="shared" si="4"/>
        <v>26.797164257839661</v>
      </c>
      <c r="K13" s="311">
        <f>($B5*F5*K5+$B9*F9*K9)/($B13*F13)</f>
        <v>80.241419954580039</v>
      </c>
      <c r="L13" s="311">
        <f t="shared" ref="L13:M15" si="5">($B5*G5*L5+$B9*G9*L9)/($B13*G13)</f>
        <v>37.410294633566963</v>
      </c>
      <c r="M13" s="312">
        <f t="shared" si="5"/>
        <v>171.5771608427288</v>
      </c>
      <c r="N13" s="26">
        <f t="shared" si="0"/>
        <v>1.7552767064557167</v>
      </c>
      <c r="O13" s="448">
        <f>100/Inventory_List_Table34367[[#This Row],[Column10]]</f>
        <v>56.971074493389494</v>
      </c>
      <c r="P13" s="313"/>
    </row>
    <row r="14" spans="1:16" s="1" customFormat="1" ht="24" customHeight="1" x14ac:dyDescent="0.3">
      <c r="A14" s="314" t="s">
        <v>405</v>
      </c>
      <c r="B14" s="308">
        <f>B6+B10</f>
        <v>54.430657927292579</v>
      </c>
      <c r="C14" s="309">
        <f>(C6*B6+C10*B10)/(B6+B10)</f>
        <v>12160.819705611231</v>
      </c>
      <c r="D14" s="309">
        <f>G36+G37</f>
        <v>15515</v>
      </c>
      <c r="E14" s="317">
        <f>G69+G70</f>
        <v>4036</v>
      </c>
      <c r="F14" s="315">
        <f t="shared" ref="F14:H15" si="6">(F6*$B6+F10*$B10)/$B14</f>
        <v>428.33394001231852</v>
      </c>
      <c r="G14" s="315">
        <f t="shared" si="6"/>
        <v>702.3882202647975</v>
      </c>
      <c r="H14" s="316">
        <f t="shared" si="6"/>
        <v>262.19517501932012</v>
      </c>
      <c r="I14" s="231">
        <f>E14*E$97/G$78</f>
        <v>4237.5782639096997</v>
      </c>
      <c r="J14" s="26">
        <f t="shared" si="4"/>
        <v>24.533603792523884</v>
      </c>
      <c r="K14" s="311">
        <f>($B6*F6*K6+$B10*F10*K10)/($B14*F14)</f>
        <v>23.43734237154429</v>
      </c>
      <c r="L14" s="311">
        <f t="shared" si="5"/>
        <v>14.292678766219282</v>
      </c>
      <c r="M14" s="312">
        <f t="shared" si="5"/>
        <v>38.288306414034842</v>
      </c>
      <c r="N14" s="26">
        <f t="shared" si="0"/>
        <v>5.5018448546480432</v>
      </c>
      <c r="O14" s="448">
        <f>100/Inventory_List_Table34367[[#This Row],[Column10]]</f>
        <v>18.175721533753986</v>
      </c>
      <c r="P14" s="313"/>
    </row>
    <row r="15" spans="1:16" s="1" customFormat="1" ht="24" customHeight="1" x14ac:dyDescent="0.3">
      <c r="A15" s="318" t="s">
        <v>406</v>
      </c>
      <c r="B15" s="308">
        <f>B7+B11</f>
        <v>161.12107327623437</v>
      </c>
      <c r="C15" s="309">
        <f>(C7*B7+C11*B11)/(B7+B11)</f>
        <v>11760.028520050832</v>
      </c>
      <c r="D15" s="309">
        <f>SUM(G39:G43)</f>
        <v>30550</v>
      </c>
      <c r="E15" s="317">
        <f>SUM(G72:G76)</f>
        <v>4927</v>
      </c>
      <c r="F15" s="315">
        <f t="shared" si="6"/>
        <v>334.51009111164433</v>
      </c>
      <c r="G15" s="315">
        <f t="shared" si="6"/>
        <v>469.3039097514652</v>
      </c>
      <c r="H15" s="316">
        <f t="shared" si="6"/>
        <v>238.75793706660934</v>
      </c>
      <c r="I15" s="231">
        <f>E15*E$97/G$78</f>
        <v>5173.0793127559682</v>
      </c>
      <c r="J15" s="26">
        <f t="shared" si="4"/>
        <v>20.241672854047895</v>
      </c>
      <c r="K15" s="311">
        <f>($B7*F7*K7+$B11*F11*K11)/($B15*F15)</f>
        <v>10.207349794886349</v>
      </c>
      <c r="L15" s="311">
        <f t="shared" si="5"/>
        <v>7.2755871812448643</v>
      </c>
      <c r="M15" s="311">
        <f t="shared" si="5"/>
        <v>14.300934041590756</v>
      </c>
      <c r="N15" s="193">
        <f t="shared" si="0"/>
        <v>10.422904540233827</v>
      </c>
      <c r="O15" s="448">
        <f>100/Inventory_List_Table34367[[#This Row],[Column10]]</f>
        <v>9.5942546162623312</v>
      </c>
      <c r="P15" s="313"/>
    </row>
    <row r="16" spans="1:16" s="1" customFormat="1" ht="24" customHeight="1" x14ac:dyDescent="0.3">
      <c r="A16" s="319" t="s">
        <v>20</v>
      </c>
      <c r="B16" s="320" t="s">
        <v>23</v>
      </c>
      <c r="C16" s="320" t="s">
        <v>25</v>
      </c>
      <c r="D16" s="320" t="s">
        <v>27</v>
      </c>
      <c r="E16" s="320" t="s">
        <v>29</v>
      </c>
      <c r="F16" s="321" t="s">
        <v>31</v>
      </c>
      <c r="G16" s="322"/>
      <c r="H16" s="323"/>
      <c r="I16" s="320" t="s">
        <v>33</v>
      </c>
      <c r="J16" s="324" t="s">
        <v>35</v>
      </c>
      <c r="K16" s="325" t="s">
        <v>37</v>
      </c>
      <c r="L16" s="326"/>
      <c r="M16" s="326"/>
      <c r="N16" s="324" t="s">
        <v>39</v>
      </c>
      <c r="O16" s="324" t="s">
        <v>41</v>
      </c>
    </row>
    <row r="17" spans="1:18" s="1" customFormat="1" ht="24" customHeight="1" x14ac:dyDescent="0.3">
      <c r="A17" s="67" t="s">
        <v>384</v>
      </c>
      <c r="B17" s="69"/>
      <c r="C17" s="69"/>
      <c r="D17" s="69"/>
      <c r="E17" s="327"/>
      <c r="F17" s="8"/>
      <c r="G17" s="328"/>
      <c r="H17" s="51"/>
      <c r="I17" s="51"/>
      <c r="J17" s="51"/>
      <c r="K17" s="51"/>
      <c r="L17" s="51"/>
      <c r="M17" s="51"/>
      <c r="N17" s="51"/>
      <c r="O17" s="51"/>
    </row>
    <row r="18" spans="1:18" s="1" customFormat="1" ht="24" customHeight="1" x14ac:dyDescent="0.3">
      <c r="A18" s="74" t="s">
        <v>22</v>
      </c>
      <c r="B18" s="75"/>
      <c r="C18" s="75"/>
      <c r="D18" s="75"/>
      <c r="E18" s="75"/>
      <c r="F18" s="75"/>
      <c r="G18" s="75"/>
      <c r="H18" s="75"/>
      <c r="I18" s="75"/>
      <c r="J18" s="75"/>
      <c r="K18" s="75"/>
      <c r="L18" s="75"/>
      <c r="M18" s="75"/>
      <c r="N18" s="75"/>
      <c r="O18" s="75"/>
    </row>
    <row r="19" spans="1:18" s="1" customFormat="1" ht="18" customHeight="1" x14ac:dyDescent="0.3">
      <c r="A19" s="329" t="str">
        <f>B16</f>
        <v>[A]</v>
      </c>
      <c r="B19" s="136" t="s">
        <v>407</v>
      </c>
      <c r="C19" s="136"/>
      <c r="D19" s="136"/>
      <c r="E19" s="136"/>
      <c r="F19" s="136"/>
      <c r="G19" s="136"/>
      <c r="H19" s="136"/>
      <c r="I19" s="136"/>
      <c r="J19" s="136"/>
      <c r="K19" s="136"/>
      <c r="L19" s="136"/>
      <c r="M19" s="136"/>
      <c r="N19" s="115"/>
    </row>
    <row r="20" spans="1:18" s="1" customFormat="1" ht="18" customHeight="1" x14ac:dyDescent="0.3">
      <c r="A20" s="329" t="str">
        <f>C16</f>
        <v>[B]</v>
      </c>
      <c r="B20" s="136" t="s">
        <v>408</v>
      </c>
      <c r="C20" s="136"/>
      <c r="D20" s="136"/>
      <c r="E20" s="136"/>
      <c r="F20" s="136"/>
      <c r="G20" s="136"/>
      <c r="H20" s="136"/>
      <c r="I20" s="136"/>
      <c r="J20" s="136"/>
      <c r="K20" s="136"/>
      <c r="L20" s="136"/>
      <c r="M20" s="136"/>
      <c r="N20" s="115"/>
    </row>
    <row r="21" spans="1:18" s="1" customFormat="1" ht="18" customHeight="1" x14ac:dyDescent="0.3">
      <c r="A21" s="329" t="str">
        <f>D16</f>
        <v>[C]</v>
      </c>
      <c r="B21" s="136" t="s">
        <v>409</v>
      </c>
      <c r="C21" s="136"/>
      <c r="D21" s="136"/>
      <c r="E21" s="136"/>
      <c r="F21" s="136"/>
      <c r="G21" s="136"/>
      <c r="H21" s="136"/>
      <c r="I21" s="136"/>
      <c r="J21" s="136"/>
      <c r="K21" s="136"/>
      <c r="L21" s="136"/>
      <c r="M21" s="136"/>
      <c r="N21" s="115"/>
    </row>
    <row r="22" spans="1:18" s="1" customFormat="1" ht="30" customHeight="1" x14ac:dyDescent="0.3">
      <c r="A22" s="329" t="s">
        <v>29</v>
      </c>
      <c r="B22" s="136" t="s">
        <v>536</v>
      </c>
      <c r="C22" s="136"/>
      <c r="D22" s="136"/>
      <c r="E22" s="136"/>
      <c r="F22" s="136"/>
      <c r="G22" s="136"/>
      <c r="H22" s="136"/>
      <c r="I22" s="136"/>
      <c r="J22" s="136"/>
      <c r="K22" s="136"/>
      <c r="L22" s="136"/>
      <c r="M22" s="136"/>
      <c r="N22" s="136"/>
      <c r="O22" s="136"/>
    </row>
    <row r="23" spans="1:18" s="1" customFormat="1" ht="18" customHeight="1" x14ac:dyDescent="0.3">
      <c r="A23" s="329" t="str">
        <f>F16</f>
        <v>[E]</v>
      </c>
      <c r="B23" s="136" t="s">
        <v>410</v>
      </c>
      <c r="C23" s="136"/>
      <c r="D23" s="136"/>
      <c r="E23" s="136"/>
      <c r="F23" s="136"/>
      <c r="G23" s="136"/>
      <c r="H23" s="136"/>
      <c r="I23" s="136"/>
      <c r="J23" s="136"/>
      <c r="K23" s="136"/>
      <c r="L23" s="136"/>
      <c r="M23" s="136"/>
      <c r="N23" s="115"/>
    </row>
    <row r="24" spans="1:18" s="1" customFormat="1" ht="30" customHeight="1" x14ac:dyDescent="0.3">
      <c r="A24" s="329" t="str">
        <f>I16</f>
        <v>[F]</v>
      </c>
      <c r="B24" s="136" t="s">
        <v>411</v>
      </c>
      <c r="C24" s="136"/>
      <c r="D24" s="136"/>
      <c r="E24" s="136"/>
      <c r="F24" s="136"/>
      <c r="G24" s="136"/>
      <c r="H24" s="136"/>
      <c r="I24" s="136"/>
      <c r="J24" s="136"/>
      <c r="K24" s="136"/>
      <c r="L24" s="136"/>
      <c r="M24" s="136"/>
      <c r="N24" s="136"/>
      <c r="O24" s="136"/>
    </row>
    <row r="25" spans="1:18" s="1" customFormat="1" ht="30" customHeight="1" x14ac:dyDescent="0.3">
      <c r="A25" s="329" t="str">
        <f>J16</f>
        <v>[G]</v>
      </c>
      <c r="B25" s="136" t="s">
        <v>412</v>
      </c>
      <c r="C25" s="136"/>
      <c r="D25" s="136"/>
      <c r="E25" s="136"/>
      <c r="F25" s="136"/>
      <c r="G25" s="136"/>
      <c r="H25" s="136"/>
      <c r="I25" s="136"/>
      <c r="J25" s="136"/>
      <c r="K25" s="136"/>
      <c r="L25" s="136"/>
      <c r="M25" s="136"/>
      <c r="N25" s="136"/>
      <c r="O25" s="136"/>
    </row>
    <row r="26" spans="1:18" s="1" customFormat="1" ht="30" customHeight="1" x14ac:dyDescent="0.3">
      <c r="A26" s="329" t="str">
        <f>K16</f>
        <v>[H]</v>
      </c>
      <c r="B26" s="136" t="s">
        <v>519</v>
      </c>
      <c r="C26" s="136"/>
      <c r="D26" s="136"/>
      <c r="E26" s="136"/>
      <c r="F26" s="136"/>
      <c r="G26" s="136"/>
      <c r="H26" s="136"/>
      <c r="I26" s="136"/>
      <c r="J26" s="136"/>
      <c r="K26" s="136"/>
      <c r="L26" s="136"/>
      <c r="M26" s="136"/>
      <c r="N26" s="136"/>
      <c r="O26" s="136"/>
    </row>
    <row r="27" spans="1:18" s="1" customFormat="1" ht="18" customHeight="1" x14ac:dyDescent="0.3">
      <c r="A27" s="329" t="str">
        <f>N16</f>
        <v>[I]</v>
      </c>
      <c r="B27" s="136" t="s">
        <v>524</v>
      </c>
      <c r="C27" s="136"/>
      <c r="D27" s="136"/>
      <c r="E27" s="136"/>
      <c r="F27" s="136"/>
      <c r="G27" s="136"/>
      <c r="H27" s="136"/>
      <c r="I27" s="136"/>
      <c r="J27" s="136"/>
      <c r="K27" s="136"/>
      <c r="L27" s="136"/>
      <c r="M27" s="136"/>
      <c r="N27" s="136"/>
      <c r="O27" s="136"/>
    </row>
    <row r="28" spans="1:18" s="1" customFormat="1" ht="18" customHeight="1" x14ac:dyDescent="0.3">
      <c r="A28" s="329" t="str">
        <f>O16</f>
        <v>[J]</v>
      </c>
      <c r="B28" s="136" t="s">
        <v>523</v>
      </c>
      <c r="C28" s="136"/>
      <c r="D28" s="136"/>
      <c r="E28" s="136"/>
      <c r="F28" s="136"/>
      <c r="G28" s="136"/>
      <c r="H28" s="136"/>
      <c r="I28" s="136"/>
      <c r="J28" s="136"/>
      <c r="K28" s="136"/>
      <c r="L28" s="136"/>
      <c r="M28" s="136"/>
      <c r="N28" s="115"/>
    </row>
    <row r="29" spans="1:18" s="8" customFormat="1" ht="24" customHeight="1" x14ac:dyDescent="0.3">
      <c r="A29" s="79" t="s">
        <v>48</v>
      </c>
      <c r="B29" s="75"/>
      <c r="C29" s="75"/>
      <c r="D29" s="75"/>
      <c r="E29" s="75"/>
      <c r="F29" s="75"/>
      <c r="G29" s="75"/>
      <c r="H29" s="75"/>
      <c r="I29" s="75"/>
      <c r="J29" s="75"/>
      <c r="K29" s="75"/>
      <c r="L29" s="75"/>
      <c r="M29" s="75"/>
      <c r="N29" s="75"/>
      <c r="O29" s="75"/>
      <c r="P29" s="1"/>
      <c r="Q29" s="1"/>
      <c r="R29" s="1"/>
    </row>
    <row r="30" spans="1:18" s="8" customFormat="1" ht="24" customHeight="1" x14ac:dyDescent="0.3">
      <c r="A30" s="80" t="s">
        <v>49</v>
      </c>
      <c r="B30" s="81" t="s">
        <v>413</v>
      </c>
      <c r="C30" s="82"/>
      <c r="D30" s="82"/>
      <c r="E30" s="82"/>
      <c r="F30" s="83"/>
      <c r="G30" s="83"/>
      <c r="H30" s="83"/>
      <c r="I30" s="83"/>
      <c r="J30" s="83"/>
      <c r="K30" s="83"/>
      <c r="L30" s="83"/>
      <c r="M30" s="83"/>
      <c r="N30" s="83"/>
      <c r="O30" s="83"/>
      <c r="P30" s="1"/>
      <c r="Q30" s="1"/>
      <c r="R30" s="1"/>
    </row>
    <row r="31" spans="1:18" s="8" customFormat="1" ht="30" customHeight="1" x14ac:dyDescent="0.3">
      <c r="A31" s="80"/>
      <c r="B31" s="330" t="s">
        <v>211</v>
      </c>
      <c r="C31" s="331" t="s">
        <v>151</v>
      </c>
      <c r="D31" s="332"/>
      <c r="E31" s="207" t="s">
        <v>152</v>
      </c>
      <c r="F31" s="155"/>
      <c r="G31" s="139" t="s">
        <v>70</v>
      </c>
      <c r="H31" s="155"/>
      <c r="I31" s="331" t="s">
        <v>414</v>
      </c>
      <c r="J31" s="332"/>
      <c r="K31" s="333" t="s">
        <v>415</v>
      </c>
      <c r="L31" s="333"/>
      <c r="O31" s="1"/>
      <c r="P31" s="1"/>
      <c r="Q31" s="1"/>
      <c r="R31" s="1"/>
    </row>
    <row r="32" spans="1:18" s="8" customFormat="1" ht="28.8" customHeight="1" x14ac:dyDescent="0.3">
      <c r="A32" s="87"/>
      <c r="B32" s="334"/>
      <c r="C32" s="335" t="s">
        <v>416</v>
      </c>
      <c r="D32" s="336" t="s">
        <v>417</v>
      </c>
      <c r="E32" s="210" t="s">
        <v>416</v>
      </c>
      <c r="F32" s="336" t="s">
        <v>417</v>
      </c>
      <c r="G32" s="210" t="s">
        <v>416</v>
      </c>
      <c r="H32" s="336" t="s">
        <v>417</v>
      </c>
      <c r="I32" s="210" t="s">
        <v>151</v>
      </c>
      <c r="J32" s="211" t="s">
        <v>152</v>
      </c>
      <c r="K32" s="210" t="s">
        <v>151</v>
      </c>
      <c r="L32" s="92" t="s">
        <v>152</v>
      </c>
      <c r="O32" s="1"/>
      <c r="P32" s="1"/>
      <c r="Q32" s="1"/>
      <c r="R32" s="1"/>
    </row>
    <row r="33" spans="1:18" s="8" customFormat="1" ht="15" customHeight="1" x14ac:dyDescent="0.3">
      <c r="A33" s="87"/>
      <c r="B33" s="154" t="s">
        <v>418</v>
      </c>
      <c r="C33" s="337">
        <v>88</v>
      </c>
      <c r="D33" s="191" t="s">
        <v>419</v>
      </c>
      <c r="E33" s="337">
        <v>38</v>
      </c>
      <c r="F33" s="191" t="s">
        <v>419</v>
      </c>
      <c r="G33" s="338">
        <v>126</v>
      </c>
      <c r="H33" s="191" t="s">
        <v>419</v>
      </c>
      <c r="I33" s="28" t="s">
        <v>419</v>
      </c>
      <c r="J33" s="191" t="s">
        <v>419</v>
      </c>
      <c r="K33" s="87" t="s">
        <v>419</v>
      </c>
      <c r="L33" s="87" t="s">
        <v>419</v>
      </c>
      <c r="O33" s="339"/>
      <c r="P33" s="339"/>
      <c r="Q33" s="339"/>
      <c r="R33" s="1"/>
    </row>
    <row r="34" spans="1:18" s="8" customFormat="1" ht="15" customHeight="1" x14ac:dyDescent="0.3">
      <c r="A34" s="87"/>
      <c r="B34" s="154" t="s">
        <v>404</v>
      </c>
      <c r="C34" s="337">
        <v>2744</v>
      </c>
      <c r="D34" s="191">
        <v>45.22</v>
      </c>
      <c r="E34" s="337">
        <v>1316</v>
      </c>
      <c r="F34" s="340">
        <v>22.33</v>
      </c>
      <c r="G34" s="338">
        <v>4061</v>
      </c>
      <c r="H34" s="340">
        <f t="shared" ref="H34:H43" si="7">100*G34/(K34+L34)</f>
        <v>33.950510921069714</v>
      </c>
      <c r="I34" s="341">
        <f t="shared" ref="I34:I43" si="8">D34/$H$45</f>
        <v>3.8911242733592148</v>
      </c>
      <c r="J34" s="342">
        <f t="shared" ref="J34:J43" si="9">F34/$H$45</f>
        <v>1.9214684879281572</v>
      </c>
      <c r="K34" s="328">
        <f>100*C34/D34</f>
        <v>6068.1114551083592</v>
      </c>
      <c r="L34" s="328">
        <f>100*E34/F34</f>
        <v>5893.4169278996869</v>
      </c>
      <c r="O34"/>
      <c r="P34"/>
      <c r="Q34"/>
      <c r="R34" s="1"/>
    </row>
    <row r="35" spans="1:18" s="8" customFormat="1" ht="15" customHeight="1" x14ac:dyDescent="0.3">
      <c r="A35" s="87"/>
      <c r="B35" s="154" t="s">
        <v>405</v>
      </c>
      <c r="C35" s="337">
        <f>SUM(C36:C37)</f>
        <v>11390</v>
      </c>
      <c r="D35" s="342">
        <f>100*C35/K35</f>
        <v>41.765864777577391</v>
      </c>
      <c r="E35" s="337">
        <f>SUM(E36:E37)</f>
        <v>4120</v>
      </c>
      <c r="F35" s="340">
        <f>100*E35/L35</f>
        <v>15.169599250479678</v>
      </c>
      <c r="G35" s="337">
        <f>SUM(G36:G37)</f>
        <v>15515</v>
      </c>
      <c r="H35" s="340">
        <f t="shared" si="7"/>
        <v>28.504156647756563</v>
      </c>
      <c r="I35" s="341">
        <f t="shared" si="8"/>
        <v>3.5939002705411336</v>
      </c>
      <c r="J35" s="342">
        <f t="shared" si="9"/>
        <v>1.3053249858618583</v>
      </c>
      <c r="K35" s="337">
        <f>SUM(K36:K37)</f>
        <v>27271.074262814946</v>
      </c>
      <c r="L35" s="343">
        <f>SUM(L36:L37)</f>
        <v>27159.583664477632</v>
      </c>
      <c r="O35"/>
      <c r="P35"/>
      <c r="Q35"/>
      <c r="R35" s="1"/>
    </row>
    <row r="36" spans="1:18" s="8" customFormat="1" ht="15" customHeight="1" x14ac:dyDescent="0.3">
      <c r="A36" s="87"/>
      <c r="B36" s="344" t="s">
        <v>420</v>
      </c>
      <c r="C36" s="337">
        <v>3479</v>
      </c>
      <c r="D36" s="191">
        <v>48.2</v>
      </c>
      <c r="E36" s="337">
        <v>1297</v>
      </c>
      <c r="F36" s="340">
        <v>18.39</v>
      </c>
      <c r="G36" s="338">
        <v>4777</v>
      </c>
      <c r="H36" s="340">
        <f t="shared" si="7"/>
        <v>33.474443185976661</v>
      </c>
      <c r="I36" s="341">
        <f t="shared" si="8"/>
        <v>4.1475495350710787</v>
      </c>
      <c r="J36" s="342">
        <f t="shared" si="9"/>
        <v>1.582436430497036</v>
      </c>
      <c r="K36" s="328">
        <f>100*C36/D36</f>
        <v>7217.8423236514518</v>
      </c>
      <c r="L36" s="328">
        <f>100*E36/F36</f>
        <v>7052.7460576400217</v>
      </c>
      <c r="O36"/>
      <c r="P36"/>
      <c r="Q36"/>
      <c r="R36" s="1"/>
    </row>
    <row r="37" spans="1:18" s="8" customFormat="1" ht="15" customHeight="1" x14ac:dyDescent="0.3">
      <c r="A37" s="87"/>
      <c r="B37" s="344" t="s">
        <v>421</v>
      </c>
      <c r="C37" s="337">
        <v>7911</v>
      </c>
      <c r="D37" s="191">
        <v>39.450000000000003</v>
      </c>
      <c r="E37" s="337">
        <v>2823</v>
      </c>
      <c r="F37" s="340">
        <v>14.04</v>
      </c>
      <c r="G37" s="338">
        <v>10738</v>
      </c>
      <c r="H37" s="340">
        <f t="shared" si="7"/>
        <v>26.738001505949146</v>
      </c>
      <c r="I37" s="341">
        <f t="shared" si="8"/>
        <v>3.3946230115882585</v>
      </c>
      <c r="J37" s="342">
        <f t="shared" si="9"/>
        <v>1.2081243873941481</v>
      </c>
      <c r="K37" s="328">
        <f>100*C37/D37</f>
        <v>20053.231939163496</v>
      </c>
      <c r="L37" s="328">
        <f>100*E37/F37</f>
        <v>20106.837606837609</v>
      </c>
      <c r="O37" s="1"/>
      <c r="P37" s="1"/>
      <c r="Q37" s="1"/>
      <c r="R37" s="1"/>
    </row>
    <row r="38" spans="1:18" s="8" customFormat="1" ht="15" customHeight="1" x14ac:dyDescent="0.3">
      <c r="A38" s="87"/>
      <c r="B38" s="345" t="s">
        <v>406</v>
      </c>
      <c r="C38" s="337">
        <f>SUM(C39:C43)</f>
        <v>22761</v>
      </c>
      <c r="D38" s="342">
        <f>100*C38/K38</f>
        <v>28.766905603277415</v>
      </c>
      <c r="E38" s="337">
        <f>SUM(E39:E43)</f>
        <v>7776</v>
      </c>
      <c r="F38" s="340">
        <f>100*E38/L38</f>
        <v>9.4830536801017651</v>
      </c>
      <c r="G38" s="337">
        <f>SUM(G39:G43)</f>
        <v>30550</v>
      </c>
      <c r="H38" s="340">
        <f t="shared" si="7"/>
        <v>18.96089653500724</v>
      </c>
      <c r="I38" s="341">
        <f t="shared" si="8"/>
        <v>2.4753561402553288</v>
      </c>
      <c r="J38" s="342">
        <f t="shared" si="9"/>
        <v>0.8160048730697127</v>
      </c>
      <c r="K38" s="337">
        <f>SUM(K39:K43)</f>
        <v>79122.170155857282</v>
      </c>
      <c r="L38" s="343">
        <f>SUM(L39:L43)</f>
        <v>81998.903120377086</v>
      </c>
      <c r="O38" s="1"/>
      <c r="P38" s="1"/>
      <c r="Q38" s="1"/>
      <c r="R38" s="1"/>
    </row>
    <row r="39" spans="1:18" s="8" customFormat="1" ht="15" customHeight="1" x14ac:dyDescent="0.3">
      <c r="A39" s="87"/>
      <c r="B39" s="344" t="s">
        <v>422</v>
      </c>
      <c r="C39" s="337">
        <v>6046</v>
      </c>
      <c r="D39" s="191">
        <v>32.36</v>
      </c>
      <c r="E39" s="337">
        <v>2061</v>
      </c>
      <c r="F39" s="340">
        <v>10.87</v>
      </c>
      <c r="G39" s="338">
        <v>8110</v>
      </c>
      <c r="H39" s="340">
        <f t="shared" si="7"/>
        <v>21.543937067672157</v>
      </c>
      <c r="I39" s="341">
        <f t="shared" si="8"/>
        <v>2.7845374057033214</v>
      </c>
      <c r="J39" s="342">
        <f t="shared" si="9"/>
        <v>0.93534986402951492</v>
      </c>
      <c r="K39" s="328">
        <f>100*C39/D39</f>
        <v>18683.559950556242</v>
      </c>
      <c r="L39" s="328">
        <f>100*E39/F39</f>
        <v>18960.441582336709</v>
      </c>
      <c r="O39" s="1"/>
      <c r="P39" s="1"/>
      <c r="Q39" s="1"/>
      <c r="R39" s="1"/>
    </row>
    <row r="40" spans="1:18" s="8" customFormat="1" ht="15" customHeight="1" x14ac:dyDescent="0.3">
      <c r="A40" s="87"/>
      <c r="B40" s="344" t="s">
        <v>423</v>
      </c>
      <c r="C40" s="337">
        <v>5993</v>
      </c>
      <c r="D40" s="191">
        <v>31.19</v>
      </c>
      <c r="E40" s="337">
        <v>1867</v>
      </c>
      <c r="F40" s="340">
        <v>9.61</v>
      </c>
      <c r="G40" s="338">
        <v>7863</v>
      </c>
      <c r="H40" s="340">
        <f t="shared" si="7"/>
        <v>20.348235439215518</v>
      </c>
      <c r="I40" s="341">
        <f t="shared" si="8"/>
        <v>2.683860373420476</v>
      </c>
      <c r="J40" s="342">
        <f t="shared" si="9"/>
        <v>0.82692844464798887</v>
      </c>
      <c r="K40" s="328">
        <f>100*C40/D40</f>
        <v>19214.491824302659</v>
      </c>
      <c r="L40" s="328">
        <f>100*E40/F40</f>
        <v>19427.679500520291</v>
      </c>
      <c r="O40" s="1"/>
      <c r="P40" s="1"/>
      <c r="Q40" s="1"/>
      <c r="R40" s="1"/>
    </row>
    <row r="41" spans="1:18" s="8" customFormat="1" ht="15" customHeight="1" x14ac:dyDescent="0.3">
      <c r="A41" s="87"/>
      <c r="B41" s="344" t="s">
        <v>424</v>
      </c>
      <c r="C41" s="337">
        <v>5513</v>
      </c>
      <c r="D41" s="191">
        <v>28.33</v>
      </c>
      <c r="E41" s="337">
        <v>1742</v>
      </c>
      <c r="F41" s="340">
        <v>8.66</v>
      </c>
      <c r="G41" s="338">
        <v>7261</v>
      </c>
      <c r="H41" s="340">
        <f t="shared" si="7"/>
        <v>18.347251532132343</v>
      </c>
      <c r="I41" s="341">
        <f t="shared" si="8"/>
        <v>2.4377609611735194</v>
      </c>
      <c r="J41" s="342">
        <f t="shared" si="9"/>
        <v>0.74518213638413977</v>
      </c>
      <c r="K41" s="328">
        <f>100*C41/D41</f>
        <v>19459.93646311331</v>
      </c>
      <c r="L41" s="328">
        <f>100*E41/F41</f>
        <v>20115.473441108545</v>
      </c>
      <c r="O41" s="1"/>
      <c r="P41" s="1"/>
      <c r="Q41" s="1"/>
      <c r="R41" s="1"/>
    </row>
    <row r="42" spans="1:18" s="8" customFormat="1" ht="15" customHeight="1" x14ac:dyDescent="0.3">
      <c r="A42" s="87"/>
      <c r="B42" s="344" t="s">
        <v>135</v>
      </c>
      <c r="C42" s="337">
        <v>3092</v>
      </c>
      <c r="D42" s="191">
        <v>22.53</v>
      </c>
      <c r="E42" s="337">
        <v>1125</v>
      </c>
      <c r="F42" s="340">
        <v>7.77</v>
      </c>
      <c r="G42" s="338">
        <v>4218</v>
      </c>
      <c r="H42" s="340">
        <f t="shared" si="7"/>
        <v>14.956021141117199</v>
      </c>
      <c r="I42" s="341">
        <f t="shared" si="8"/>
        <v>1.938678237036336</v>
      </c>
      <c r="J42" s="342">
        <f t="shared" si="9"/>
        <v>0.66859875285274439</v>
      </c>
      <c r="K42" s="328">
        <f>100*C42/D42</f>
        <v>13723.92365734576</v>
      </c>
      <c r="L42" s="328">
        <f>100*E42/F42</f>
        <v>14478.76447876448</v>
      </c>
      <c r="O42" s="1"/>
      <c r="P42" s="1"/>
      <c r="Q42" s="1"/>
      <c r="R42" s="1"/>
    </row>
    <row r="43" spans="1:18" s="8" customFormat="1" ht="15" customHeight="1" x14ac:dyDescent="0.3">
      <c r="A43" s="87"/>
      <c r="B43" s="344" t="s">
        <v>425</v>
      </c>
      <c r="C43" s="337">
        <v>2117</v>
      </c>
      <c r="D43" s="191">
        <v>26.33</v>
      </c>
      <c r="E43" s="337">
        <v>981</v>
      </c>
      <c r="F43" s="340">
        <v>10.88</v>
      </c>
      <c r="G43" s="338">
        <v>3098</v>
      </c>
      <c r="H43" s="340">
        <f t="shared" si="7"/>
        <v>18.162841611871961</v>
      </c>
      <c r="I43" s="341">
        <f t="shared" si="8"/>
        <v>2.2656634700917322</v>
      </c>
      <c r="J43" s="342">
        <f t="shared" si="9"/>
        <v>0.93621035148492393</v>
      </c>
      <c r="K43" s="328">
        <f>100*C43/D43</f>
        <v>8040.258260539309</v>
      </c>
      <c r="L43" s="328">
        <f>100*E43/F43</f>
        <v>9016.5441176470576</v>
      </c>
      <c r="O43" s="1"/>
      <c r="P43" s="1"/>
      <c r="Q43" s="1"/>
      <c r="R43" s="1"/>
    </row>
    <row r="44" spans="1:18" s="8" customFormat="1" ht="15" customHeight="1" x14ac:dyDescent="0.3">
      <c r="A44" s="87"/>
      <c r="B44" s="154" t="s">
        <v>426</v>
      </c>
      <c r="C44" s="337">
        <v>79</v>
      </c>
      <c r="D44" s="191" t="s">
        <v>419</v>
      </c>
      <c r="E44" s="337">
        <v>19</v>
      </c>
      <c r="F44" s="191" t="s">
        <v>419</v>
      </c>
      <c r="G44" s="338">
        <v>1238</v>
      </c>
      <c r="H44" s="191" t="s">
        <v>419</v>
      </c>
      <c r="I44" s="191" t="s">
        <v>419</v>
      </c>
      <c r="J44" s="191" t="s">
        <v>419</v>
      </c>
      <c r="K44" s="87" t="s">
        <v>419</v>
      </c>
      <c r="L44" s="87" t="s">
        <v>419</v>
      </c>
      <c r="O44" s="1"/>
      <c r="P44" s="1"/>
      <c r="Q44" s="1"/>
      <c r="R44" s="1"/>
    </row>
    <row r="45" spans="1:18" s="8" customFormat="1" ht="15" customHeight="1" x14ac:dyDescent="0.3">
      <c r="A45" s="87"/>
      <c r="B45" s="154" t="s">
        <v>70</v>
      </c>
      <c r="C45" s="346">
        <v>37062</v>
      </c>
      <c r="D45" s="211">
        <v>32.950000000000003</v>
      </c>
      <c r="E45" s="346">
        <v>13269</v>
      </c>
      <c r="F45" s="340">
        <v>11.53</v>
      </c>
      <c r="G45" s="347">
        <v>51490</v>
      </c>
      <c r="H45" s="340">
        <f>100*G45/(K45+L45)</f>
        <v>11.621319912499604</v>
      </c>
      <c r="I45" s="348">
        <f>D45/$H$45</f>
        <v>2.8353061655724492</v>
      </c>
      <c r="J45" s="342">
        <f>F45/$H$45</f>
        <v>0.99214203608650475</v>
      </c>
      <c r="K45" s="328">
        <f>SUM(K34:K44)</f>
        <v>218854.60029245279</v>
      </c>
      <c r="L45" s="328">
        <f>SUM(L34:L44)</f>
        <v>224210.39049760907</v>
      </c>
      <c r="O45" s="1"/>
      <c r="P45" s="1"/>
      <c r="Q45" s="1"/>
      <c r="R45" s="1"/>
    </row>
    <row r="46" spans="1:18" s="8" customFormat="1" ht="18" customHeight="1" x14ac:dyDescent="0.3">
      <c r="A46" s="87"/>
      <c r="B46" s="203" t="s">
        <v>20</v>
      </c>
      <c r="C46" s="242" t="s">
        <v>52</v>
      </c>
      <c r="D46" s="243"/>
      <c r="E46" s="243"/>
      <c r="F46" s="243"/>
      <c r="G46" s="243"/>
      <c r="H46" s="349"/>
      <c r="I46" s="207" t="s">
        <v>427</v>
      </c>
      <c r="J46" s="155"/>
      <c r="K46" s="139" t="s">
        <v>428</v>
      </c>
      <c r="L46" s="139"/>
      <c r="O46" s="1"/>
      <c r="P46" s="1"/>
      <c r="Q46" s="1"/>
      <c r="R46" s="1"/>
    </row>
    <row r="47" spans="1:18" s="8" customFormat="1" ht="18" customHeight="1" x14ac:dyDescent="0.3">
      <c r="A47" s="87"/>
      <c r="B47" s="350" t="str">
        <f>C46</f>
        <v>[P1a]</v>
      </c>
      <c r="C47" s="351" t="s">
        <v>539</v>
      </c>
      <c r="D47" s="352"/>
      <c r="E47" s="352"/>
      <c r="F47" s="352"/>
      <c r="G47" s="87"/>
      <c r="H47" s="87"/>
      <c r="O47" s="1"/>
      <c r="P47" s="1"/>
      <c r="Q47" s="1"/>
      <c r="R47" s="1"/>
    </row>
    <row r="48" spans="1:18" s="8" customFormat="1" ht="18" customHeight="1" x14ac:dyDescent="0.3">
      <c r="A48" s="87"/>
      <c r="B48" s="350" t="str">
        <f>I46</f>
        <v>[P1b]</v>
      </c>
      <c r="C48" s="351" t="s">
        <v>429</v>
      </c>
      <c r="D48" s="352"/>
      <c r="E48" s="352"/>
      <c r="F48" s="352"/>
      <c r="G48" s="87"/>
      <c r="H48" s="87"/>
      <c r="O48" s="1"/>
      <c r="P48" s="1"/>
      <c r="Q48" s="1"/>
      <c r="R48" s="1"/>
    </row>
    <row r="49" spans="1:21" s="8" customFormat="1" ht="18" customHeight="1" x14ac:dyDescent="0.3">
      <c r="A49" s="87"/>
      <c r="B49" s="353" t="str">
        <f>K46</f>
        <v>[P1c]</v>
      </c>
      <c r="C49" s="351" t="s">
        <v>430</v>
      </c>
      <c r="D49" s="352"/>
      <c r="E49" s="352"/>
      <c r="F49" s="352"/>
      <c r="G49" s="87"/>
      <c r="H49" s="87"/>
      <c r="O49" s="1"/>
      <c r="P49" s="1"/>
      <c r="Q49" s="1"/>
      <c r="R49" s="1"/>
    </row>
    <row r="50" spans="1:21" s="8" customFormat="1" ht="24" customHeight="1" x14ac:dyDescent="0.3">
      <c r="A50" s="80" t="s">
        <v>57</v>
      </c>
      <c r="B50" s="81" t="s">
        <v>431</v>
      </c>
      <c r="C50" s="82"/>
      <c r="D50" s="82"/>
      <c r="E50" s="82"/>
      <c r="F50" s="83"/>
      <c r="G50" s="83"/>
      <c r="H50" s="83"/>
      <c r="I50" s="83"/>
      <c r="J50" s="83"/>
      <c r="K50" s="83"/>
      <c r="L50" s="83"/>
      <c r="M50" s="83"/>
      <c r="N50" s="83"/>
      <c r="O50" s="83"/>
      <c r="P50" s="1"/>
      <c r="Q50" s="1"/>
      <c r="R50" s="1"/>
    </row>
    <row r="51" spans="1:21" s="8" customFormat="1" ht="18" customHeight="1" x14ac:dyDescent="0.3">
      <c r="A51" s="80"/>
      <c r="B51" s="330" t="s">
        <v>211</v>
      </c>
      <c r="C51" s="331" t="s">
        <v>151</v>
      </c>
      <c r="D51" s="332"/>
      <c r="E51" s="139" t="s">
        <v>152</v>
      </c>
      <c r="F51" s="139"/>
      <c r="O51" s="1"/>
      <c r="P51" s="1"/>
      <c r="Q51" s="1"/>
      <c r="R51" s="1"/>
    </row>
    <row r="52" spans="1:21" s="8" customFormat="1" ht="28.8" customHeight="1" x14ac:dyDescent="0.3">
      <c r="A52" s="87"/>
      <c r="B52" s="334"/>
      <c r="C52" s="354" t="s">
        <v>432</v>
      </c>
      <c r="D52" s="336" t="s">
        <v>433</v>
      </c>
      <c r="E52" s="354" t="s">
        <v>432</v>
      </c>
      <c r="F52" s="355" t="s">
        <v>434</v>
      </c>
      <c r="O52" s="1"/>
      <c r="P52" s="1"/>
      <c r="Q52" s="1"/>
      <c r="R52" s="1"/>
    </row>
    <row r="53" spans="1:21" s="8" customFormat="1" ht="30" customHeight="1" x14ac:dyDescent="0.3">
      <c r="A53" s="87"/>
      <c r="B53" s="356" t="s">
        <v>435</v>
      </c>
      <c r="C53" s="337">
        <v>5893</v>
      </c>
      <c r="D53" s="191" t="s">
        <v>419</v>
      </c>
      <c r="E53" s="337">
        <v>5104</v>
      </c>
      <c r="F53" s="87" t="s">
        <v>419</v>
      </c>
      <c r="O53" s="1"/>
      <c r="P53" s="1"/>
      <c r="Q53" s="1"/>
      <c r="R53" s="1"/>
    </row>
    <row r="54" spans="1:21" s="8" customFormat="1" ht="30" customHeight="1" x14ac:dyDescent="0.3">
      <c r="A54" s="87"/>
      <c r="B54" s="356" t="s">
        <v>436</v>
      </c>
      <c r="C54" s="337">
        <f>C53*0.75+C55*0.25</f>
        <v>7742.5</v>
      </c>
      <c r="D54" s="357">
        <f>C54*K34/1000000</f>
        <v>46.982352941176472</v>
      </c>
      <c r="E54" s="337">
        <f>E53*0.75+E55*0.25</f>
        <v>6584.5</v>
      </c>
      <c r="F54" s="358">
        <f>E54*L34/1000000</f>
        <v>38.805203761755486</v>
      </c>
      <c r="O54" s="1"/>
      <c r="P54" s="1"/>
      <c r="Q54" s="1"/>
      <c r="R54" s="1"/>
    </row>
    <row r="55" spans="1:21" s="8" customFormat="1" ht="15" customHeight="1" x14ac:dyDescent="0.3">
      <c r="A55" s="87"/>
      <c r="B55" s="359" t="s">
        <v>437</v>
      </c>
      <c r="C55" s="360">
        <v>13291</v>
      </c>
      <c r="D55" s="357">
        <f>C55*(K36+K37)/1000000</f>
        <v>362.45984802707346</v>
      </c>
      <c r="E55" s="360">
        <v>11026</v>
      </c>
      <c r="F55" s="361">
        <f>E55*(L36+L37)/1000000</f>
        <v>299.4615694845304</v>
      </c>
      <c r="O55" s="1"/>
      <c r="P55" s="1"/>
      <c r="Q55" s="1"/>
      <c r="R55" s="1"/>
    </row>
    <row r="56" spans="1:21" s="8" customFormat="1" ht="15" customHeight="1" x14ac:dyDescent="0.3">
      <c r="A56" s="87"/>
      <c r="B56" s="362" t="s">
        <v>438</v>
      </c>
      <c r="C56" s="360">
        <v>15705</v>
      </c>
      <c r="D56" s="357">
        <f>C56*(K39+K40)/1000000</f>
        <v>595.18890312415908</v>
      </c>
      <c r="E56" s="360">
        <v>11895</v>
      </c>
      <c r="F56" s="361">
        <f>E56*(L39+L40)/1000000</f>
        <v>456.62670028058403</v>
      </c>
      <c r="O56" s="1"/>
      <c r="P56" s="1"/>
      <c r="Q56" s="1"/>
      <c r="R56" s="1"/>
    </row>
    <row r="57" spans="1:21" s="8" customFormat="1" ht="15" customHeight="1" x14ac:dyDescent="0.3">
      <c r="A57" s="87"/>
      <c r="B57" s="362" t="s">
        <v>424</v>
      </c>
      <c r="C57" s="360">
        <v>14717</v>
      </c>
      <c r="D57" s="357">
        <f>C57*K41/1000000</f>
        <v>286.39188492763861</v>
      </c>
      <c r="E57" s="360">
        <v>9434</v>
      </c>
      <c r="F57" s="361">
        <f>E57*L41/1000000</f>
        <v>189.769376443418</v>
      </c>
      <c r="O57" s="1"/>
      <c r="P57" s="1"/>
      <c r="Q57" s="1"/>
      <c r="R57" s="1"/>
    </row>
    <row r="58" spans="1:21" s="8" customFormat="1" ht="15" customHeight="1" x14ac:dyDescent="0.3">
      <c r="A58" s="87"/>
      <c r="B58" s="362" t="s">
        <v>439</v>
      </c>
      <c r="C58" s="360">
        <v>9974</v>
      </c>
      <c r="D58" s="357">
        <f>C58*(K42+K43)/1000000</f>
        <v>217.07595044898571</v>
      </c>
      <c r="E58" s="360">
        <v>6373</v>
      </c>
      <c r="F58" s="361">
        <f>E58*(L42+L43)/1000000</f>
        <v>149.73560168493074</v>
      </c>
      <c r="O58" s="1"/>
      <c r="P58" s="1"/>
      <c r="Q58" s="1"/>
      <c r="R58" s="1"/>
    </row>
    <row r="59" spans="1:21" s="8" customFormat="1" ht="15" customHeight="1" x14ac:dyDescent="0.3">
      <c r="A59" s="87"/>
      <c r="B59" s="362" t="s">
        <v>70</v>
      </c>
      <c r="C59" s="360">
        <v>13393</v>
      </c>
      <c r="D59" s="357">
        <f>SUM(D54:D58)</f>
        <v>1508.0989394690332</v>
      </c>
      <c r="E59" s="360">
        <v>9854</v>
      </c>
      <c r="F59" s="358">
        <f>SUM(F54:F58)</f>
        <v>1134.3984516552187</v>
      </c>
      <c r="O59" s="1"/>
      <c r="P59" s="1"/>
      <c r="Q59" s="1"/>
      <c r="R59" s="1"/>
    </row>
    <row r="60" spans="1:21" s="8" customFormat="1" ht="18" customHeight="1" x14ac:dyDescent="0.3">
      <c r="A60" s="87"/>
      <c r="B60" s="203" t="s">
        <v>20</v>
      </c>
      <c r="C60" s="240" t="s">
        <v>54</v>
      </c>
      <c r="D60" s="241" t="s">
        <v>155</v>
      </c>
      <c r="E60" s="240" t="str">
        <f>C60</f>
        <v>[P2a]</v>
      </c>
      <c r="F60" s="204" t="str">
        <f>D60</f>
        <v>[P2b]</v>
      </c>
      <c r="O60" s="1"/>
      <c r="P60" s="1"/>
      <c r="Q60" s="1"/>
      <c r="R60" s="1"/>
    </row>
    <row r="61" spans="1:21" s="8" customFormat="1" ht="45" customHeight="1" x14ac:dyDescent="0.3">
      <c r="A61" s="87"/>
      <c r="B61" s="350" t="str">
        <f>C60</f>
        <v>[P2a]</v>
      </c>
      <c r="C61" s="401" t="s">
        <v>540</v>
      </c>
      <c r="D61" s="401"/>
      <c r="E61" s="401"/>
      <c r="F61" s="401"/>
      <c r="G61" s="401"/>
      <c r="H61" s="401"/>
      <c r="I61" s="401"/>
      <c r="J61" s="401"/>
      <c r="K61" s="401"/>
      <c r="L61" s="401"/>
      <c r="M61" s="401"/>
      <c r="N61" s="401"/>
      <c r="O61" s="401"/>
      <c r="P61" s="1"/>
      <c r="Q61" s="1"/>
      <c r="R61" s="1"/>
    </row>
    <row r="62" spans="1:21" s="8" customFormat="1" ht="18" customHeight="1" x14ac:dyDescent="0.3">
      <c r="A62" s="87"/>
      <c r="B62" s="350" t="str">
        <f>D60</f>
        <v>[P2b]</v>
      </c>
      <c r="C62" s="351" t="s">
        <v>440</v>
      </c>
      <c r="D62" s="352"/>
      <c r="E62" s="352"/>
      <c r="F62" s="352"/>
      <c r="G62" s="87"/>
      <c r="H62" s="87"/>
      <c r="O62" s="1"/>
      <c r="P62" s="1"/>
      <c r="Q62" s="1"/>
      <c r="R62" s="1"/>
    </row>
    <row r="63" spans="1:21" s="1" customFormat="1" ht="24" customHeight="1" x14ac:dyDescent="0.3">
      <c r="A63" s="80" t="s">
        <v>72</v>
      </c>
      <c r="B63" s="81" t="s">
        <v>441</v>
      </c>
      <c r="C63" s="82"/>
      <c r="D63" s="82"/>
      <c r="E63" s="82"/>
      <c r="F63" s="83"/>
      <c r="G63" s="83"/>
      <c r="H63" s="83"/>
      <c r="I63" s="83"/>
      <c r="J63" s="83"/>
      <c r="K63" s="83"/>
      <c r="L63" s="83"/>
      <c r="M63" s="83"/>
      <c r="N63" s="83"/>
      <c r="O63" s="83"/>
      <c r="S63" s="8"/>
      <c r="T63" s="8"/>
      <c r="U63" s="8"/>
    </row>
    <row r="64" spans="1:21" s="1" customFormat="1" ht="30" customHeight="1" x14ac:dyDescent="0.3">
      <c r="A64" s="80"/>
      <c r="B64" s="363" t="s">
        <v>59</v>
      </c>
      <c r="C64" s="364"/>
      <c r="D64" s="331" t="s">
        <v>442</v>
      </c>
      <c r="E64" s="333"/>
      <c r="F64" s="332"/>
      <c r="G64" s="331" t="s">
        <v>443</v>
      </c>
      <c r="H64" s="333"/>
      <c r="I64" s="332"/>
      <c r="J64" s="331" t="s">
        <v>444</v>
      </c>
      <c r="K64" s="333"/>
      <c r="L64" s="333"/>
      <c r="O64" s="8"/>
      <c r="P64" s="8"/>
      <c r="Q64" s="8"/>
    </row>
    <row r="65" spans="1:19" s="1" customFormat="1" ht="30" customHeight="1" x14ac:dyDescent="0.3">
      <c r="A65" s="87"/>
      <c r="B65" s="215"/>
      <c r="C65" s="216"/>
      <c r="D65" s="160" t="s">
        <v>70</v>
      </c>
      <c r="E65" s="365" t="s">
        <v>151</v>
      </c>
      <c r="F65" s="365" t="s">
        <v>152</v>
      </c>
      <c r="G65" s="160" t="s">
        <v>70</v>
      </c>
      <c r="H65" s="365" t="s">
        <v>151</v>
      </c>
      <c r="I65" s="365" t="s">
        <v>152</v>
      </c>
      <c r="J65" s="160" t="s">
        <v>70</v>
      </c>
      <c r="K65" s="365" t="s">
        <v>151</v>
      </c>
      <c r="L65" s="366" t="s">
        <v>152</v>
      </c>
      <c r="O65" s="8"/>
      <c r="P65" s="8"/>
      <c r="Q65" s="8"/>
    </row>
    <row r="66" spans="1:19" s="1" customFormat="1" ht="15" customHeight="1" x14ac:dyDescent="0.3">
      <c r="A66"/>
      <c r="B66" s="367" t="s">
        <v>445</v>
      </c>
      <c r="C66" s="154"/>
      <c r="D66" s="360">
        <v>126</v>
      </c>
      <c r="E66" s="360">
        <v>88</v>
      </c>
      <c r="F66" s="360">
        <v>38</v>
      </c>
      <c r="G66" s="360">
        <v>10</v>
      </c>
      <c r="H66" s="360">
        <v>7</v>
      </c>
      <c r="I66" s="360">
        <v>3</v>
      </c>
      <c r="J66" s="368">
        <f t="shared" ref="J66:L78" si="10">G66/D66</f>
        <v>7.9365079365079361E-2</v>
      </c>
      <c r="K66" s="368">
        <f t="shared" si="10"/>
        <v>7.9545454545454544E-2</v>
      </c>
      <c r="L66" s="369">
        <f t="shared" si="10"/>
        <v>7.8947368421052627E-2</v>
      </c>
      <c r="O66" s="370"/>
      <c r="P66"/>
      <c r="Q66"/>
      <c r="R66"/>
      <c r="S66"/>
    </row>
    <row r="67" spans="1:19" s="1" customFormat="1" ht="15" customHeight="1" x14ac:dyDescent="0.3">
      <c r="A67"/>
      <c r="B67" s="95" t="s">
        <v>446</v>
      </c>
      <c r="C67" s="154"/>
      <c r="D67" s="360">
        <v>4061</v>
      </c>
      <c r="E67" s="360">
        <v>2744</v>
      </c>
      <c r="F67" s="360">
        <v>1316</v>
      </c>
      <c r="G67" s="360">
        <v>622</v>
      </c>
      <c r="H67" s="360">
        <v>467</v>
      </c>
      <c r="I67" s="360">
        <v>155</v>
      </c>
      <c r="J67" s="368">
        <f t="shared" si="10"/>
        <v>0.15316424525978822</v>
      </c>
      <c r="K67" s="368">
        <f t="shared" si="10"/>
        <v>0.17018950437317784</v>
      </c>
      <c r="L67" s="369">
        <f t="shared" si="10"/>
        <v>0.11778115501519756</v>
      </c>
      <c r="O67"/>
      <c r="P67"/>
      <c r="Q67"/>
      <c r="R67"/>
      <c r="S67"/>
    </row>
    <row r="68" spans="1:19" s="1" customFormat="1" ht="15" customHeight="1" x14ac:dyDescent="0.3">
      <c r="A68"/>
      <c r="B68" s="95" t="s">
        <v>447</v>
      </c>
      <c r="C68" s="154"/>
      <c r="D68" s="360">
        <f t="shared" ref="D68:I68" si="11">D69+D70</f>
        <v>15515</v>
      </c>
      <c r="E68" s="360">
        <f t="shared" si="11"/>
        <v>11390</v>
      </c>
      <c r="F68" s="360">
        <f t="shared" si="11"/>
        <v>4120</v>
      </c>
      <c r="G68" s="360">
        <f t="shared" si="11"/>
        <v>4036</v>
      </c>
      <c r="H68" s="360">
        <f t="shared" si="11"/>
        <v>3212</v>
      </c>
      <c r="I68" s="360">
        <f t="shared" si="11"/>
        <v>824</v>
      </c>
      <c r="J68" s="368">
        <f t="shared" si="10"/>
        <v>0.2601353528843055</v>
      </c>
      <c r="K68" s="368">
        <f t="shared" si="10"/>
        <v>0.2820017559262511</v>
      </c>
      <c r="L68" s="369">
        <f t="shared" si="10"/>
        <v>0.2</v>
      </c>
    </row>
    <row r="69" spans="1:19" s="1" customFormat="1" ht="15" customHeight="1" x14ac:dyDescent="0.3">
      <c r="A69"/>
      <c r="B69" s="371" t="s">
        <v>448</v>
      </c>
      <c r="C69" s="154"/>
      <c r="D69" s="360">
        <v>4777</v>
      </c>
      <c r="E69" s="360">
        <v>3479</v>
      </c>
      <c r="F69" s="360">
        <v>1297</v>
      </c>
      <c r="G69" s="360">
        <v>1305</v>
      </c>
      <c r="H69" s="360">
        <v>1024</v>
      </c>
      <c r="I69" s="360">
        <v>281</v>
      </c>
      <c r="J69" s="368">
        <f t="shared" si="10"/>
        <v>0.27318400669876491</v>
      </c>
      <c r="K69" s="368">
        <f t="shared" si="10"/>
        <v>0.29433745329117561</v>
      </c>
      <c r="L69" s="369">
        <f t="shared" si="10"/>
        <v>0.21665381649961449</v>
      </c>
      <c r="O69"/>
      <c r="P69"/>
      <c r="Q69"/>
      <c r="R69"/>
      <c r="S69"/>
    </row>
    <row r="70" spans="1:19" s="1" customFormat="1" ht="15" customHeight="1" x14ac:dyDescent="0.3">
      <c r="A70"/>
      <c r="B70" s="371" t="s">
        <v>449</v>
      </c>
      <c r="C70" s="154"/>
      <c r="D70" s="360">
        <v>10738</v>
      </c>
      <c r="E70" s="360">
        <v>7911</v>
      </c>
      <c r="F70" s="360">
        <v>2823</v>
      </c>
      <c r="G70" s="360">
        <v>2731</v>
      </c>
      <c r="H70" s="360">
        <v>2188</v>
      </c>
      <c r="I70" s="360">
        <v>543</v>
      </c>
      <c r="J70" s="368">
        <f t="shared" si="10"/>
        <v>0.2543304153473645</v>
      </c>
      <c r="K70" s="368">
        <f t="shared" si="10"/>
        <v>0.27657691821514346</v>
      </c>
      <c r="L70" s="369">
        <f t="shared" si="10"/>
        <v>0.19234856535600425</v>
      </c>
      <c r="O70"/>
      <c r="P70"/>
      <c r="Q70"/>
      <c r="R70"/>
      <c r="S70"/>
    </row>
    <row r="71" spans="1:19" s="1" customFormat="1" ht="15" customHeight="1" x14ac:dyDescent="0.3">
      <c r="A71"/>
      <c r="B71" s="95" t="s">
        <v>450</v>
      </c>
      <c r="C71" s="154"/>
      <c r="D71" s="360">
        <f t="shared" ref="D71:I71" si="12">SUM(D72:D76)</f>
        <v>30550</v>
      </c>
      <c r="E71" s="360">
        <f t="shared" si="12"/>
        <v>22761</v>
      </c>
      <c r="F71" s="360">
        <f t="shared" si="12"/>
        <v>7776</v>
      </c>
      <c r="G71" s="360">
        <f t="shared" si="12"/>
        <v>4927</v>
      </c>
      <c r="H71" s="360">
        <f t="shared" si="12"/>
        <v>3994</v>
      </c>
      <c r="I71" s="360">
        <f t="shared" si="12"/>
        <v>931</v>
      </c>
      <c r="J71" s="368">
        <f t="shared" si="10"/>
        <v>0.16127659574468084</v>
      </c>
      <c r="K71" s="368">
        <f t="shared" si="10"/>
        <v>0.17547559421818021</v>
      </c>
      <c r="L71" s="369">
        <f t="shared" si="10"/>
        <v>0.11972736625514403</v>
      </c>
    </row>
    <row r="72" spans="1:19" s="1" customFormat="1" ht="15" customHeight="1" x14ac:dyDescent="0.3">
      <c r="A72"/>
      <c r="B72" s="371" t="s">
        <v>451</v>
      </c>
      <c r="C72" s="154"/>
      <c r="D72" s="360">
        <v>8110</v>
      </c>
      <c r="E72" s="360">
        <v>6046</v>
      </c>
      <c r="F72" s="360">
        <v>2061</v>
      </c>
      <c r="G72" s="360">
        <v>1716</v>
      </c>
      <c r="H72" s="360">
        <v>1384</v>
      </c>
      <c r="I72" s="360">
        <v>331</v>
      </c>
      <c r="J72" s="368">
        <f t="shared" si="10"/>
        <v>0.21159062885326757</v>
      </c>
      <c r="K72" s="368">
        <f t="shared" si="10"/>
        <v>0.22891167714191202</v>
      </c>
      <c r="L72" s="369">
        <f t="shared" si="10"/>
        <v>0.16060164968461912</v>
      </c>
      <c r="O72"/>
      <c r="P72"/>
      <c r="Q72"/>
      <c r="R72"/>
      <c r="S72"/>
    </row>
    <row r="73" spans="1:19" s="1" customFormat="1" ht="15" customHeight="1" x14ac:dyDescent="0.3">
      <c r="A73"/>
      <c r="B73" s="371" t="s">
        <v>452</v>
      </c>
      <c r="C73" s="154"/>
      <c r="D73" s="360">
        <v>7863</v>
      </c>
      <c r="E73" s="360">
        <v>5993</v>
      </c>
      <c r="F73" s="360">
        <v>1867</v>
      </c>
      <c r="G73" s="360">
        <v>1458</v>
      </c>
      <c r="H73" s="360">
        <v>1193</v>
      </c>
      <c r="I73" s="360">
        <v>264</v>
      </c>
      <c r="J73" s="368">
        <f t="shared" si="10"/>
        <v>0.18542541014879818</v>
      </c>
      <c r="K73" s="368">
        <f t="shared" si="10"/>
        <v>0.19906557650592357</v>
      </c>
      <c r="L73" s="369">
        <f t="shared" si="10"/>
        <v>0.14140332083556509</v>
      </c>
      <c r="O73"/>
      <c r="P73"/>
      <c r="Q73"/>
      <c r="R73"/>
      <c r="S73"/>
    </row>
    <row r="74" spans="1:19" s="1" customFormat="1" ht="15" customHeight="1" x14ac:dyDescent="0.3">
      <c r="A74"/>
      <c r="B74" s="371" t="s">
        <v>453</v>
      </c>
      <c r="C74" s="154"/>
      <c r="D74" s="360">
        <v>7261</v>
      </c>
      <c r="E74" s="360">
        <v>5513</v>
      </c>
      <c r="F74" s="360">
        <v>1742</v>
      </c>
      <c r="G74" s="360">
        <v>1102</v>
      </c>
      <c r="H74" s="360">
        <v>902</v>
      </c>
      <c r="I74" s="360">
        <v>199</v>
      </c>
      <c r="J74" s="368">
        <f t="shared" si="10"/>
        <v>0.1517697286875086</v>
      </c>
      <c r="K74" s="368">
        <f t="shared" si="10"/>
        <v>0.16361327770723744</v>
      </c>
      <c r="L74" s="369">
        <f t="shared" si="10"/>
        <v>0.11423650975889782</v>
      </c>
      <c r="O74"/>
      <c r="P74"/>
      <c r="Q74"/>
      <c r="R74"/>
      <c r="S74"/>
    </row>
    <row r="75" spans="1:19" s="1" customFormat="1" ht="15" customHeight="1" x14ac:dyDescent="0.3">
      <c r="A75"/>
      <c r="B75" s="371" t="s">
        <v>67</v>
      </c>
      <c r="C75" s="154"/>
      <c r="D75" s="360">
        <v>4218</v>
      </c>
      <c r="E75" s="360">
        <v>3092</v>
      </c>
      <c r="F75" s="360">
        <v>1125</v>
      </c>
      <c r="G75" s="360">
        <v>435</v>
      </c>
      <c r="H75" s="360">
        <v>348</v>
      </c>
      <c r="I75" s="360">
        <v>87</v>
      </c>
      <c r="J75" s="368">
        <f t="shared" si="10"/>
        <v>0.10312944523470839</v>
      </c>
      <c r="K75" s="368">
        <f t="shared" si="10"/>
        <v>0.11254851228978008</v>
      </c>
      <c r="L75" s="369">
        <f t="shared" si="10"/>
        <v>7.7333333333333337E-2</v>
      </c>
      <c r="O75"/>
      <c r="P75"/>
      <c r="Q75"/>
      <c r="R75"/>
      <c r="S75"/>
    </row>
    <row r="76" spans="1:19" s="1" customFormat="1" ht="15" customHeight="1" x14ac:dyDescent="0.3">
      <c r="A76"/>
      <c r="B76" s="371" t="s">
        <v>454</v>
      </c>
      <c r="C76" s="154"/>
      <c r="D76" s="360">
        <v>3098</v>
      </c>
      <c r="E76" s="360">
        <v>2117</v>
      </c>
      <c r="F76" s="360">
        <v>981</v>
      </c>
      <c r="G76" s="360">
        <v>216</v>
      </c>
      <c r="H76" s="360">
        <v>167</v>
      </c>
      <c r="I76" s="360">
        <v>50</v>
      </c>
      <c r="J76" s="368">
        <f t="shared" si="10"/>
        <v>6.9722401549386706E-2</v>
      </c>
      <c r="K76" s="368">
        <f t="shared" si="10"/>
        <v>7.8885214926783187E-2</v>
      </c>
      <c r="L76" s="369">
        <f t="shared" si="10"/>
        <v>5.09683995922528E-2</v>
      </c>
      <c r="O76"/>
      <c r="P76"/>
      <c r="Q76"/>
      <c r="R76"/>
      <c r="S76"/>
    </row>
    <row r="77" spans="1:19" s="1" customFormat="1" ht="15" customHeight="1" x14ac:dyDescent="0.3">
      <c r="A77"/>
      <c r="B77" s="95" t="s">
        <v>426</v>
      </c>
      <c r="C77" s="154"/>
      <c r="D77" s="360">
        <v>1238</v>
      </c>
      <c r="E77" s="360">
        <v>79</v>
      </c>
      <c r="F77" s="360">
        <v>19</v>
      </c>
      <c r="G77" s="360">
        <v>414</v>
      </c>
      <c r="H77" s="360">
        <v>19</v>
      </c>
      <c r="I77" s="360">
        <v>5</v>
      </c>
      <c r="J77" s="368">
        <f t="shared" si="10"/>
        <v>0.33441033925686592</v>
      </c>
      <c r="K77" s="368">
        <f t="shared" si="10"/>
        <v>0.24050632911392406</v>
      </c>
      <c r="L77" s="369">
        <f t="shared" si="10"/>
        <v>0.26315789473684209</v>
      </c>
      <c r="O77"/>
      <c r="P77"/>
      <c r="Q77"/>
      <c r="R77"/>
      <c r="S77"/>
    </row>
    <row r="78" spans="1:19" s="1" customFormat="1" ht="15" customHeight="1" x14ac:dyDescent="0.3">
      <c r="A78"/>
      <c r="B78" s="95" t="s">
        <v>70</v>
      </c>
      <c r="C78" s="154"/>
      <c r="D78" s="372">
        <v>51490</v>
      </c>
      <c r="E78" s="372">
        <v>37062</v>
      </c>
      <c r="F78" s="372">
        <v>13269</v>
      </c>
      <c r="G78" s="372">
        <v>10011</v>
      </c>
      <c r="H78" s="372">
        <v>7698</v>
      </c>
      <c r="I78" s="372">
        <v>1918</v>
      </c>
      <c r="J78" s="368">
        <f t="shared" si="10"/>
        <v>0.1944261021557584</v>
      </c>
      <c r="K78" s="368">
        <f t="shared" si="10"/>
        <v>0.20770600615185364</v>
      </c>
      <c r="L78" s="369">
        <f t="shared" si="10"/>
        <v>0.14454744140477804</v>
      </c>
      <c r="O78"/>
      <c r="P78"/>
      <c r="Q78"/>
      <c r="R78"/>
      <c r="S78"/>
    </row>
    <row r="79" spans="1:19" s="1" customFormat="1" ht="18" customHeight="1" x14ac:dyDescent="0.3">
      <c r="A79" s="87"/>
      <c r="B79" s="373" t="s">
        <v>20</v>
      </c>
      <c r="C79" s="374"/>
      <c r="D79" s="207" t="s">
        <v>75</v>
      </c>
      <c r="E79" s="139"/>
      <c r="F79" s="139"/>
      <c r="G79" s="139"/>
      <c r="H79" s="139"/>
      <c r="I79" s="155"/>
      <c r="J79" s="207" t="s">
        <v>77</v>
      </c>
      <c r="K79" s="139"/>
      <c r="L79" s="139"/>
      <c r="P79" s="8"/>
      <c r="Q79" s="8"/>
      <c r="R79" s="8"/>
    </row>
    <row r="80" spans="1:19" s="8" customFormat="1" ht="30" customHeight="1" x14ac:dyDescent="0.3">
      <c r="A80" s="87"/>
      <c r="B80" s="350" t="str">
        <f>D79</f>
        <v>[P3a]</v>
      </c>
      <c r="C80" s="375" t="s">
        <v>537</v>
      </c>
      <c r="D80" s="375"/>
      <c r="E80" s="375"/>
      <c r="F80" s="375"/>
      <c r="G80" s="375"/>
      <c r="H80" s="375"/>
      <c r="I80" s="375"/>
      <c r="J80" s="375"/>
      <c r="K80" s="375"/>
      <c r="L80" s="375"/>
      <c r="M80" s="375"/>
      <c r="N80" s="375"/>
      <c r="O80" s="375"/>
      <c r="P80" s="1"/>
      <c r="Q80" s="1"/>
      <c r="R80" s="1"/>
    </row>
    <row r="81" spans="1:21" s="8" customFormat="1" ht="18" customHeight="1" x14ac:dyDescent="0.3">
      <c r="A81" s="87"/>
      <c r="B81" s="350" t="str">
        <f>J79</f>
        <v>[P3b]</v>
      </c>
      <c r="C81" s="351" t="s">
        <v>455</v>
      </c>
      <c r="D81" s="352"/>
      <c r="E81" s="352"/>
      <c r="F81" s="352"/>
      <c r="G81" s="87"/>
      <c r="H81" s="87"/>
      <c r="O81" s="1"/>
      <c r="P81" s="1"/>
      <c r="Q81" s="1"/>
      <c r="R81" s="1"/>
    </row>
    <row r="82" spans="1:21" s="1" customFormat="1" ht="24" customHeight="1" x14ac:dyDescent="0.3">
      <c r="A82" s="80" t="s">
        <v>83</v>
      </c>
      <c r="B82" s="81" t="s">
        <v>456</v>
      </c>
      <c r="C82" s="82"/>
      <c r="D82" s="82"/>
      <c r="E82" s="82"/>
      <c r="F82" s="83"/>
      <c r="G82" s="83"/>
      <c r="H82" s="83"/>
      <c r="I82" s="83"/>
      <c r="J82" s="83"/>
      <c r="K82" s="83"/>
      <c r="L82" s="83"/>
      <c r="M82" s="83"/>
      <c r="N82" s="83"/>
      <c r="O82" s="83"/>
      <c r="S82" s="8"/>
      <c r="T82" s="8"/>
      <c r="U82" s="8"/>
    </row>
    <row r="83" spans="1:21" s="1" customFormat="1" ht="18" customHeight="1" x14ac:dyDescent="0.3">
      <c r="A83" s="80"/>
      <c r="B83" s="363" t="s">
        <v>59</v>
      </c>
      <c r="C83" s="364"/>
      <c r="D83" s="376" t="s">
        <v>457</v>
      </c>
      <c r="E83" s="207" t="s">
        <v>458</v>
      </c>
      <c r="F83" s="139"/>
      <c r="G83" s="139"/>
      <c r="H83" s="155"/>
      <c r="I83" s="207" t="s">
        <v>459</v>
      </c>
      <c r="J83" s="139"/>
      <c r="K83" s="139"/>
      <c r="L83" s="139"/>
      <c r="M83" s="377"/>
      <c r="S83" s="8"/>
      <c r="T83" s="8"/>
      <c r="U83" s="8"/>
    </row>
    <row r="84" spans="1:21" s="1" customFormat="1" ht="30" customHeight="1" x14ac:dyDescent="0.3">
      <c r="A84" s="87"/>
      <c r="B84" s="215"/>
      <c r="C84" s="216"/>
      <c r="D84" s="378"/>
      <c r="E84" s="160" t="s">
        <v>70</v>
      </c>
      <c r="F84" s="365" t="s">
        <v>460</v>
      </c>
      <c r="G84" s="365" t="s">
        <v>461</v>
      </c>
      <c r="H84" s="379" t="s">
        <v>462</v>
      </c>
      <c r="I84" s="160" t="s">
        <v>70</v>
      </c>
      <c r="J84" s="365" t="s">
        <v>460</v>
      </c>
      <c r="K84" s="365" t="s">
        <v>461</v>
      </c>
      <c r="L84" s="380" t="s">
        <v>462</v>
      </c>
      <c r="M84" s="8"/>
      <c r="N84" s="8"/>
      <c r="Q84" s="8"/>
      <c r="R84" s="8"/>
      <c r="S84" s="8"/>
    </row>
    <row r="85" spans="1:21" s="1" customFormat="1" ht="15" customHeight="1" x14ac:dyDescent="0.3">
      <c r="A85" s="87"/>
      <c r="B85" s="95" t="s">
        <v>61</v>
      </c>
      <c r="C85" s="154"/>
      <c r="D85" s="360">
        <v>344</v>
      </c>
      <c r="E85" s="360">
        <v>80</v>
      </c>
      <c r="F85" s="360">
        <v>11</v>
      </c>
      <c r="G85" s="360">
        <v>64</v>
      </c>
      <c r="H85" s="381">
        <v>5</v>
      </c>
      <c r="I85" s="382">
        <f t="shared" ref="I85:L96" si="13">E85/(E$97-E$96)</f>
        <v>7.6343162515507207E-3</v>
      </c>
      <c r="J85" s="382">
        <f t="shared" si="13"/>
        <v>1.0242085661080074E-2</v>
      </c>
      <c r="K85" s="382">
        <f t="shared" si="13"/>
        <v>7.702491274521603E-3</v>
      </c>
      <c r="L85" s="383">
        <f t="shared" si="13"/>
        <v>4.5620437956204376E-3</v>
      </c>
      <c r="M85" s="8"/>
      <c r="N85" s="8"/>
      <c r="Q85" s="8"/>
      <c r="R85" s="8"/>
      <c r="S85" s="8"/>
    </row>
    <row r="86" spans="1:21" s="1" customFormat="1" ht="15" customHeight="1" x14ac:dyDescent="0.3">
      <c r="A86" s="87"/>
      <c r="B86" s="95" t="s">
        <v>463</v>
      </c>
      <c r="C86" s="154"/>
      <c r="D86" s="360">
        <v>331</v>
      </c>
      <c r="E86" s="360">
        <v>69</v>
      </c>
      <c r="F86" s="360">
        <v>6</v>
      </c>
      <c r="G86" s="360">
        <v>61</v>
      </c>
      <c r="H86" s="381">
        <v>3</v>
      </c>
      <c r="I86" s="382">
        <f t="shared" si="13"/>
        <v>6.5845977669624963E-3</v>
      </c>
      <c r="J86" s="382">
        <f t="shared" si="13"/>
        <v>5.5865921787709499E-3</v>
      </c>
      <c r="K86" s="382">
        <f t="shared" si="13"/>
        <v>7.3414369960284028E-3</v>
      </c>
      <c r="L86" s="383">
        <f t="shared" si="13"/>
        <v>2.7372262773722629E-3</v>
      </c>
      <c r="M86" s="8"/>
      <c r="N86" s="8"/>
      <c r="Q86" s="8"/>
      <c r="R86" s="8"/>
      <c r="S86" s="8"/>
    </row>
    <row r="87" spans="1:21" s="1" customFormat="1" ht="15" customHeight="1" x14ac:dyDescent="0.3">
      <c r="A87" s="87"/>
      <c r="B87" s="95" t="s">
        <v>464</v>
      </c>
      <c r="C87" s="154"/>
      <c r="D87" s="360">
        <v>521</v>
      </c>
      <c r="E87" s="360">
        <v>115</v>
      </c>
      <c r="F87" s="360">
        <v>28</v>
      </c>
      <c r="G87" s="360">
        <v>81</v>
      </c>
      <c r="H87" s="381">
        <v>6</v>
      </c>
      <c r="I87" s="382">
        <f t="shared" si="13"/>
        <v>1.0974329611604161E-2</v>
      </c>
      <c r="J87" s="382">
        <f t="shared" si="13"/>
        <v>2.6070763500931099E-2</v>
      </c>
      <c r="K87" s="382">
        <f t="shared" si="13"/>
        <v>9.7484655193164037E-3</v>
      </c>
      <c r="L87" s="383">
        <f t="shared" si="13"/>
        <v>5.4744525547445258E-3</v>
      </c>
      <c r="M87" s="8"/>
      <c r="N87" s="8"/>
      <c r="Q87" s="8"/>
      <c r="R87" s="8"/>
      <c r="S87" s="8"/>
    </row>
    <row r="88" spans="1:21" s="1" customFormat="1" ht="15" customHeight="1" x14ac:dyDescent="0.3">
      <c r="A88" s="87"/>
      <c r="B88" s="95" t="s">
        <v>446</v>
      </c>
      <c r="C88" s="154"/>
      <c r="D88" s="360">
        <v>2883</v>
      </c>
      <c r="E88" s="360">
        <v>716</v>
      </c>
      <c r="F88" s="360">
        <v>580</v>
      </c>
      <c r="G88" s="360">
        <v>129</v>
      </c>
      <c r="H88" s="381">
        <v>7</v>
      </c>
      <c r="I88" s="382">
        <f t="shared" si="13"/>
        <v>6.8327130451378948E-2</v>
      </c>
      <c r="J88" s="382">
        <f t="shared" si="13"/>
        <v>0.54003724394785846</v>
      </c>
      <c r="K88" s="382">
        <f t="shared" si="13"/>
        <v>1.5525333975207606E-2</v>
      </c>
      <c r="L88" s="383">
        <f t="shared" si="13"/>
        <v>6.3868613138686131E-3</v>
      </c>
      <c r="M88" s="8"/>
      <c r="N88" s="8"/>
      <c r="Q88" s="8"/>
      <c r="R88" s="8"/>
      <c r="S88" s="8"/>
    </row>
    <row r="89" spans="1:21" s="1" customFormat="1" ht="15" customHeight="1" x14ac:dyDescent="0.3">
      <c r="A89" s="87"/>
      <c r="B89" s="95" t="s">
        <v>448</v>
      </c>
      <c r="C89" s="154"/>
      <c r="D89" s="360">
        <v>3204</v>
      </c>
      <c r="E89" s="360">
        <v>1294</v>
      </c>
      <c r="F89" s="360">
        <v>76</v>
      </c>
      <c r="G89" s="360">
        <v>1182</v>
      </c>
      <c r="H89" s="381">
        <v>36</v>
      </c>
      <c r="I89" s="382">
        <f t="shared" si="13"/>
        <v>0.1234850653688329</v>
      </c>
      <c r="J89" s="382">
        <f t="shared" si="13"/>
        <v>7.0763500931098691E-2</v>
      </c>
      <c r="K89" s="382">
        <f t="shared" si="13"/>
        <v>0.14225538572632085</v>
      </c>
      <c r="L89" s="383">
        <f t="shared" si="13"/>
        <v>3.2846715328467155E-2</v>
      </c>
      <c r="M89" s="8"/>
      <c r="N89" s="8"/>
      <c r="Q89" s="8"/>
      <c r="R89" s="8"/>
      <c r="S89" s="8"/>
    </row>
    <row r="90" spans="1:21" s="1" customFormat="1" ht="15" customHeight="1" x14ac:dyDescent="0.3">
      <c r="A90" s="87"/>
      <c r="B90" s="95" t="s">
        <v>449</v>
      </c>
      <c r="C90" s="154"/>
      <c r="D90" s="360">
        <v>6733</v>
      </c>
      <c r="E90" s="360">
        <v>2623</v>
      </c>
      <c r="F90" s="360">
        <v>107</v>
      </c>
      <c r="G90" s="360">
        <v>2434</v>
      </c>
      <c r="H90" s="381">
        <v>82</v>
      </c>
      <c r="I90" s="382">
        <f t="shared" si="13"/>
        <v>0.25031014409771923</v>
      </c>
      <c r="J90" s="382">
        <f t="shared" si="13"/>
        <v>9.9627560521415276E-2</v>
      </c>
      <c r="K90" s="382">
        <f t="shared" si="13"/>
        <v>0.2929353712841497</v>
      </c>
      <c r="L90" s="383">
        <f t="shared" si="13"/>
        <v>7.4817518248175188E-2</v>
      </c>
      <c r="M90" s="8"/>
      <c r="N90" s="8"/>
      <c r="Q90" s="8"/>
      <c r="R90" s="8"/>
      <c r="S90" s="8"/>
    </row>
    <row r="91" spans="1:21" s="1" customFormat="1" ht="15" customHeight="1" x14ac:dyDescent="0.3">
      <c r="A91" s="87"/>
      <c r="B91" s="95" t="s">
        <v>451</v>
      </c>
      <c r="C91" s="154"/>
      <c r="D91" s="360">
        <v>4989</v>
      </c>
      <c r="E91" s="360">
        <v>1712</v>
      </c>
      <c r="F91" s="360">
        <v>56</v>
      </c>
      <c r="G91" s="360">
        <v>1592</v>
      </c>
      <c r="H91" s="381">
        <v>64</v>
      </c>
      <c r="I91" s="382">
        <f t="shared" si="13"/>
        <v>0.16337436778318543</v>
      </c>
      <c r="J91" s="382">
        <f t="shared" si="13"/>
        <v>5.2141527001862198E-2</v>
      </c>
      <c r="K91" s="382">
        <f t="shared" si="13"/>
        <v>0.19159947045372488</v>
      </c>
      <c r="L91" s="383">
        <f t="shared" si="13"/>
        <v>5.8394160583941604E-2</v>
      </c>
      <c r="M91" s="8"/>
      <c r="N91" s="8"/>
      <c r="Q91" s="8"/>
      <c r="R91" s="8"/>
      <c r="S91" s="8"/>
    </row>
    <row r="92" spans="1:21" s="1" customFormat="1" ht="15" customHeight="1" x14ac:dyDescent="0.3">
      <c r="A92" s="87"/>
      <c r="B92" s="95" t="s">
        <v>452</v>
      </c>
      <c r="C92" s="154"/>
      <c r="D92" s="360">
        <v>5136</v>
      </c>
      <c r="E92" s="360">
        <v>1558</v>
      </c>
      <c r="F92" s="360">
        <v>92</v>
      </c>
      <c r="G92" s="360">
        <v>1389</v>
      </c>
      <c r="H92" s="381">
        <v>77</v>
      </c>
      <c r="I92" s="382">
        <f t="shared" si="13"/>
        <v>0.14867830899895029</v>
      </c>
      <c r="J92" s="382">
        <f t="shared" si="13"/>
        <v>8.5661080074487903E-2</v>
      </c>
      <c r="K92" s="382">
        <f t="shared" si="13"/>
        <v>0.16716813094235167</v>
      </c>
      <c r="L92" s="383">
        <f t="shared" si="13"/>
        <v>7.0255474452554742E-2</v>
      </c>
      <c r="M92" s="8"/>
      <c r="N92" s="8"/>
      <c r="Q92" s="8"/>
      <c r="R92" s="8"/>
      <c r="S92" s="8"/>
    </row>
    <row r="93" spans="1:21" s="1" customFormat="1" ht="15" customHeight="1" x14ac:dyDescent="0.3">
      <c r="A93" s="87"/>
      <c r="B93" s="95" t="s">
        <v>453</v>
      </c>
      <c r="C93" s="154"/>
      <c r="D93" s="360">
        <v>5380</v>
      </c>
      <c r="E93" s="360">
        <v>1314</v>
      </c>
      <c r="F93" s="360">
        <v>57</v>
      </c>
      <c r="G93" s="360">
        <v>1178</v>
      </c>
      <c r="H93" s="381">
        <v>79</v>
      </c>
      <c r="I93" s="382">
        <f t="shared" si="13"/>
        <v>0.12539364443172057</v>
      </c>
      <c r="J93" s="382">
        <f t="shared" si="13"/>
        <v>5.3072625698324022E-2</v>
      </c>
      <c r="K93" s="382">
        <f t="shared" si="13"/>
        <v>0.14177398002166325</v>
      </c>
      <c r="L93" s="383">
        <f t="shared" si="13"/>
        <v>7.2080291970802915E-2</v>
      </c>
      <c r="M93" s="8"/>
      <c r="N93" s="8"/>
      <c r="Q93" s="8"/>
      <c r="R93" s="8"/>
      <c r="S93" s="8"/>
    </row>
    <row r="94" spans="1:21" s="1" customFormat="1" ht="15" customHeight="1" x14ac:dyDescent="0.3">
      <c r="A94" s="87"/>
      <c r="B94" s="95" t="s">
        <v>67</v>
      </c>
      <c r="C94" s="154"/>
      <c r="D94" s="360">
        <v>3513</v>
      </c>
      <c r="E94" s="360">
        <v>613</v>
      </c>
      <c r="F94" s="360">
        <v>32</v>
      </c>
      <c r="G94" s="360">
        <v>119</v>
      </c>
      <c r="H94" s="381">
        <v>462</v>
      </c>
      <c r="I94" s="382">
        <f t="shared" si="13"/>
        <v>5.8497948277507393E-2</v>
      </c>
      <c r="J94" s="382">
        <f t="shared" si="13"/>
        <v>2.9795158286778398E-2</v>
      </c>
      <c r="K94" s="382">
        <f t="shared" si="13"/>
        <v>1.4321819713563605E-2</v>
      </c>
      <c r="L94" s="383">
        <f t="shared" si="13"/>
        <v>0.42153284671532848</v>
      </c>
      <c r="M94" s="8"/>
      <c r="N94" s="8"/>
      <c r="Q94" s="8"/>
      <c r="R94" s="8"/>
      <c r="S94" s="8"/>
    </row>
    <row r="95" spans="1:21" s="1" customFormat="1" ht="15" customHeight="1" x14ac:dyDescent="0.3">
      <c r="A95" s="87"/>
      <c r="B95" s="95" t="s">
        <v>454</v>
      </c>
      <c r="C95" s="154"/>
      <c r="D95" s="360">
        <v>3394</v>
      </c>
      <c r="E95" s="360">
        <v>386</v>
      </c>
      <c r="F95" s="360">
        <v>28</v>
      </c>
      <c r="G95" s="360">
        <v>80</v>
      </c>
      <c r="H95" s="381">
        <v>278</v>
      </c>
      <c r="I95" s="382">
        <f t="shared" si="13"/>
        <v>3.6835575913732224E-2</v>
      </c>
      <c r="J95" s="382">
        <f t="shared" si="13"/>
        <v>2.6070763500931099E-2</v>
      </c>
      <c r="K95" s="382">
        <f t="shared" si="13"/>
        <v>9.6281140931520036E-3</v>
      </c>
      <c r="L95" s="383">
        <f t="shared" si="13"/>
        <v>0.25364963503649635</v>
      </c>
      <c r="M95" s="8"/>
      <c r="N95" s="8"/>
      <c r="Q95" s="8"/>
      <c r="R95" s="8"/>
      <c r="S95" s="8"/>
    </row>
    <row r="96" spans="1:21" s="1" customFormat="1" ht="15" customHeight="1" x14ac:dyDescent="0.3">
      <c r="A96" s="87"/>
      <c r="B96" s="95" t="s">
        <v>426</v>
      </c>
      <c r="C96" s="154"/>
      <c r="D96" s="360">
        <v>132</v>
      </c>
      <c r="E96" s="360">
        <v>32</v>
      </c>
      <c r="F96" s="360">
        <v>2</v>
      </c>
      <c r="G96" s="360">
        <v>28</v>
      </c>
      <c r="H96" s="381">
        <v>2</v>
      </c>
      <c r="I96" s="382">
        <f t="shared" si="13"/>
        <v>3.0537265006202884E-3</v>
      </c>
      <c r="J96" s="382">
        <f t="shared" si="13"/>
        <v>1.8621973929236499E-3</v>
      </c>
      <c r="K96" s="382">
        <f t="shared" si="13"/>
        <v>3.3698399326032012E-3</v>
      </c>
      <c r="L96" s="383">
        <f t="shared" si="13"/>
        <v>1.8248175182481751E-3</v>
      </c>
      <c r="M96" s="8"/>
      <c r="N96" s="8"/>
      <c r="Q96" s="8"/>
      <c r="R96" s="8"/>
      <c r="S96" s="8"/>
    </row>
    <row r="97" spans="1:21" s="1" customFormat="1" ht="15" customHeight="1" x14ac:dyDescent="0.3">
      <c r="A97" s="87"/>
      <c r="B97" s="95" t="s">
        <v>70</v>
      </c>
      <c r="C97" s="154"/>
      <c r="D97" s="360">
        <f>SUM(D85:D96)</f>
        <v>36560</v>
      </c>
      <c r="E97" s="372">
        <v>10511</v>
      </c>
      <c r="F97" s="372">
        <v>1076</v>
      </c>
      <c r="G97" s="372">
        <v>8337</v>
      </c>
      <c r="H97" s="381">
        <v>1098</v>
      </c>
      <c r="I97" s="384"/>
      <c r="J97" s="384"/>
      <c r="K97" s="384"/>
      <c r="L97" s="385"/>
      <c r="M97" s="8"/>
      <c r="N97" s="8"/>
      <c r="Q97" s="8"/>
      <c r="R97" s="8"/>
      <c r="S97" s="8"/>
    </row>
    <row r="98" spans="1:21" s="1" customFormat="1" ht="18" customHeight="1" x14ac:dyDescent="0.3">
      <c r="A98" s="87"/>
      <c r="B98" s="386" t="s">
        <v>20</v>
      </c>
      <c r="C98" s="387"/>
      <c r="D98" s="207" t="s">
        <v>86</v>
      </c>
      <c r="E98" s="139"/>
      <c r="F98" s="139"/>
      <c r="G98" s="139"/>
      <c r="H98" s="155"/>
      <c r="I98" s="207" t="s">
        <v>88</v>
      </c>
      <c r="J98" s="139"/>
      <c r="K98" s="139"/>
      <c r="L98" s="139"/>
      <c r="M98" s="8"/>
      <c r="N98" s="8"/>
      <c r="S98" s="8"/>
      <c r="T98" s="8"/>
      <c r="U98" s="8"/>
    </row>
    <row r="99" spans="1:21" s="1" customFormat="1" ht="18" customHeight="1" x14ac:dyDescent="0.3">
      <c r="A99" s="87"/>
      <c r="B99" s="388" t="s">
        <v>465</v>
      </c>
      <c r="C99" s="8"/>
      <c r="D99" s="389"/>
      <c r="E99" s="390"/>
      <c r="F99" s="390"/>
      <c r="G99" s="390"/>
      <c r="H99" s="390"/>
      <c r="I99" s="383"/>
      <c r="J99" s="383"/>
      <c r="K99" s="383"/>
      <c r="L99" s="8"/>
      <c r="M99" s="8"/>
      <c r="N99" s="8"/>
      <c r="S99" s="8"/>
      <c r="T99" s="8"/>
      <c r="U99" s="8"/>
    </row>
    <row r="100" spans="1:21" s="1" customFormat="1" ht="18" customHeight="1" x14ac:dyDescent="0.3">
      <c r="A100" s="87"/>
      <c r="B100" s="391" t="s">
        <v>466</v>
      </c>
      <c r="C100" s="391"/>
      <c r="D100" s="392"/>
      <c r="E100" s="393">
        <f>(2*I85+7*I86+12.5*I87+18*I88+22.5*I89+29.5*I90+39.5*I91+49.5*I92+59.5*I93+69.5*I94+80*I95)</f>
        <v>39.877230651779747</v>
      </c>
      <c r="F100" s="393">
        <f>(2*J85+7*J86+12.5*J87+18*J88+22.5*J89+29.5*J90+39.5*J91+49.5*J92+59.5*J93+69.5*J94+80*J95)</f>
        <v>28.25139664804469</v>
      </c>
      <c r="G100" s="393">
        <f>(2*K85+7*K86+12.5*K87+18*K88+22.5*K89+29.5*K90+39.5*K91+49.5*K92+59.5*K93+69.5*K94+80*K95)</f>
        <v>38.354615477193398</v>
      </c>
      <c r="H100" s="393">
        <f>(2*L85+7*L86+12.5*L87+18*L88+22.5*L89+29.5*L90+39.5*L91+49.5*L92+59.5*L93+69.5*L94+80*L95)</f>
        <v>62.819343065693431</v>
      </c>
      <c r="I100" s="87" t="s">
        <v>114</v>
      </c>
      <c r="J100" s="87"/>
      <c r="K100" s="87"/>
      <c r="L100" s="8"/>
      <c r="M100" s="8"/>
      <c r="N100" s="8"/>
      <c r="S100" s="8"/>
      <c r="T100" s="8"/>
      <c r="U100" s="8"/>
    </row>
    <row r="101" spans="1:21" s="1" customFormat="1" ht="18" customHeight="1" x14ac:dyDescent="0.3">
      <c r="A101" s="87"/>
      <c r="B101" s="391" t="s">
        <v>467</v>
      </c>
      <c r="C101" s="391"/>
      <c r="D101" s="392"/>
      <c r="E101" s="393">
        <v>40.799999999999997</v>
      </c>
      <c r="F101" s="393">
        <v>51.5</v>
      </c>
      <c r="G101" s="393">
        <v>42.1</v>
      </c>
      <c r="H101" s="393">
        <v>21.1</v>
      </c>
      <c r="I101" s="87" t="s">
        <v>468</v>
      </c>
      <c r="J101" s="87"/>
      <c r="K101" s="87"/>
      <c r="L101" s="8"/>
      <c r="M101" s="8"/>
      <c r="N101" s="8"/>
      <c r="S101" s="8"/>
      <c r="T101" s="8"/>
      <c r="U101" s="8"/>
    </row>
    <row r="102" spans="1:21" s="1" customFormat="1" ht="18" customHeight="1" x14ac:dyDescent="0.3">
      <c r="A102" s="87"/>
      <c r="B102" s="111" t="s">
        <v>469</v>
      </c>
      <c r="C102" s="111"/>
      <c r="D102" s="394"/>
      <c r="E102" s="395">
        <v>1.0702423172091644</v>
      </c>
      <c r="F102" s="396">
        <f>E102</f>
        <v>1.0702423172091644</v>
      </c>
      <c r="G102" s="396">
        <f>F102</f>
        <v>1.0702423172091644</v>
      </c>
      <c r="H102" s="397">
        <v>1.0438365194462755</v>
      </c>
      <c r="I102" s="87" t="s">
        <v>470</v>
      </c>
      <c r="J102" s="87"/>
      <c r="K102" s="87"/>
      <c r="L102" s="8"/>
      <c r="M102" s="8"/>
      <c r="N102" s="8"/>
      <c r="S102" s="8"/>
      <c r="T102" s="8"/>
      <c r="U102" s="8"/>
    </row>
    <row r="103" spans="1:21" s="1" customFormat="1" ht="18" customHeight="1" x14ac:dyDescent="0.3">
      <c r="A103" s="87"/>
      <c r="B103" s="391" t="s">
        <v>471</v>
      </c>
      <c r="C103" s="391"/>
      <c r="D103" s="392"/>
      <c r="E103" s="393">
        <f>E101*E102</f>
        <v>43.665886542133904</v>
      </c>
      <c r="F103" s="393">
        <f>F101*F102</f>
        <v>55.11747933627197</v>
      </c>
      <c r="G103" s="393">
        <f>G101*G102</f>
        <v>45.057201554505824</v>
      </c>
      <c r="H103" s="393">
        <f>H101*H102</f>
        <v>22.024950560316416</v>
      </c>
      <c r="I103" s="87" t="s">
        <v>472</v>
      </c>
      <c r="J103" s="87"/>
      <c r="K103" s="87"/>
      <c r="L103" s="8"/>
      <c r="M103" s="8"/>
      <c r="N103" s="8"/>
      <c r="S103" s="8"/>
      <c r="T103" s="8"/>
      <c r="U103" s="8"/>
    </row>
    <row r="104" spans="1:21" s="1" customFormat="1" ht="18" customHeight="1" x14ac:dyDescent="0.3">
      <c r="A104" s="87"/>
      <c r="B104" s="398" t="s">
        <v>473</v>
      </c>
      <c r="C104" s="398"/>
      <c r="D104" s="399"/>
      <c r="E104" s="400">
        <f>-PV(0.03,E103,1)</f>
        <v>24.164164959133785</v>
      </c>
      <c r="F104" s="400">
        <f>-PV(0.03,F103,1)</f>
        <v>26.797164257839661</v>
      </c>
      <c r="G104" s="400">
        <f>-PV(0.03,G103,1)</f>
        <v>24.533603792523884</v>
      </c>
      <c r="H104" s="400">
        <f>-PV(0.03,H103,1)</f>
        <v>15.949741915571904</v>
      </c>
      <c r="I104" s="92" t="s">
        <v>474</v>
      </c>
      <c r="J104" s="92"/>
      <c r="K104" s="92"/>
      <c r="L104" s="106"/>
      <c r="M104" s="106"/>
      <c r="N104" s="8"/>
      <c r="S104" s="8"/>
      <c r="T104" s="8"/>
      <c r="U104" s="8"/>
    </row>
    <row r="105" spans="1:21" s="1" customFormat="1" ht="18" customHeight="1" x14ac:dyDescent="0.3">
      <c r="A105" s="87"/>
      <c r="B105" s="87" t="str">
        <f>D98</f>
        <v>[P4a]</v>
      </c>
      <c r="C105" s="1" t="s">
        <v>538</v>
      </c>
      <c r="S105" s="8"/>
      <c r="T105" s="8"/>
      <c r="U105" s="8"/>
    </row>
    <row r="106" spans="1:21" s="8" customFormat="1" ht="18" customHeight="1" x14ac:dyDescent="0.3">
      <c r="A106" s="87"/>
      <c r="B106" s="350" t="str">
        <f>I98</f>
        <v>[P4b]</v>
      </c>
      <c r="C106" s="351" t="s">
        <v>475</v>
      </c>
      <c r="D106" s="352"/>
      <c r="E106" s="352"/>
      <c r="F106" s="352"/>
      <c r="G106" s="87"/>
      <c r="H106" s="87"/>
      <c r="O106" s="1"/>
      <c r="P106" s="1"/>
      <c r="Q106" s="1"/>
      <c r="R106" s="1"/>
    </row>
    <row r="107" spans="1:21" s="8" customFormat="1" ht="18" customHeight="1" x14ac:dyDescent="0.3">
      <c r="A107" s="87"/>
      <c r="B107" s="350" t="str">
        <f>I100</f>
        <v>[P4c]</v>
      </c>
      <c r="C107" s="351" t="s">
        <v>476</v>
      </c>
      <c r="D107" s="352"/>
      <c r="E107" s="352"/>
      <c r="F107" s="352"/>
      <c r="G107" s="87"/>
      <c r="H107" s="87"/>
      <c r="O107" s="1"/>
      <c r="P107" s="1"/>
      <c r="Q107" s="1"/>
      <c r="R107" s="1"/>
    </row>
    <row r="108" spans="1:21" s="8" customFormat="1" ht="18" customHeight="1" x14ac:dyDescent="0.3">
      <c r="A108" s="87"/>
      <c r="B108" s="350" t="str">
        <f>I101</f>
        <v>[P4d]</v>
      </c>
      <c r="C108" s="136" t="s">
        <v>534</v>
      </c>
      <c r="D108" s="136"/>
      <c r="E108" s="136"/>
      <c r="F108" s="136"/>
      <c r="G108" s="136"/>
      <c r="H108" s="136"/>
      <c r="I108" s="136"/>
      <c r="J108" s="136"/>
      <c r="K108" s="136"/>
      <c r="L108" s="136"/>
      <c r="M108" s="136"/>
      <c r="N108" s="115"/>
      <c r="O108" s="1"/>
      <c r="P108" s="1"/>
      <c r="Q108" s="1"/>
      <c r="R108" s="1"/>
    </row>
    <row r="109" spans="1:21" s="8" customFormat="1" ht="45" customHeight="1" x14ac:dyDescent="0.3">
      <c r="A109" s="87"/>
      <c r="B109" s="350" t="str">
        <f>I102</f>
        <v>[P4e]</v>
      </c>
      <c r="C109" s="401" t="s">
        <v>541</v>
      </c>
      <c r="D109" s="401"/>
      <c r="E109" s="401"/>
      <c r="F109" s="401"/>
      <c r="G109" s="401"/>
      <c r="H109" s="401"/>
      <c r="I109" s="401"/>
      <c r="J109" s="401"/>
      <c r="K109" s="401"/>
      <c r="L109" s="401"/>
      <c r="M109" s="401"/>
      <c r="N109" s="401"/>
      <c r="O109" s="401"/>
      <c r="P109" s="1"/>
      <c r="Q109" s="1"/>
      <c r="R109" s="1"/>
    </row>
    <row r="110" spans="1:21" s="8" customFormat="1" ht="18" customHeight="1" x14ac:dyDescent="0.3">
      <c r="A110" s="87"/>
      <c r="B110" s="350" t="str">
        <f>I103</f>
        <v>[P4f]</v>
      </c>
      <c r="C110" s="351" t="s">
        <v>477</v>
      </c>
      <c r="D110" s="352"/>
      <c r="E110" s="352"/>
      <c r="F110" s="352"/>
      <c r="G110" s="87"/>
      <c r="H110" s="87"/>
      <c r="P110" s="1"/>
      <c r="Q110" s="1"/>
      <c r="R110" s="1"/>
    </row>
    <row r="111" spans="1:21" s="8" customFormat="1" ht="45" customHeight="1" x14ac:dyDescent="0.3">
      <c r="A111" s="87"/>
      <c r="B111" s="350" t="str">
        <f>I104</f>
        <v>[P4g]</v>
      </c>
      <c r="C111" s="401" t="s">
        <v>542</v>
      </c>
      <c r="D111" s="401"/>
      <c r="E111" s="401"/>
      <c r="F111" s="401"/>
      <c r="G111" s="401"/>
      <c r="H111" s="401"/>
      <c r="I111" s="401"/>
      <c r="J111" s="401"/>
      <c r="K111" s="401"/>
      <c r="L111" s="401"/>
      <c r="M111" s="401"/>
      <c r="N111" s="401"/>
      <c r="O111" s="401"/>
      <c r="P111" s="1"/>
      <c r="Q111" s="1"/>
      <c r="R111" s="1"/>
    </row>
    <row r="112" spans="1:21" s="8" customFormat="1" ht="24" customHeight="1" x14ac:dyDescent="0.3">
      <c r="A112" s="80" t="s">
        <v>190</v>
      </c>
      <c r="B112" s="81" t="s">
        <v>478</v>
      </c>
      <c r="C112" s="82"/>
      <c r="D112" s="82"/>
      <c r="E112" s="82"/>
      <c r="F112" s="83"/>
      <c r="G112" s="83"/>
      <c r="H112" s="83"/>
      <c r="I112" s="83"/>
      <c r="J112" s="83"/>
      <c r="K112" s="83"/>
      <c r="L112" s="83"/>
      <c r="M112" s="84"/>
      <c r="N112" s="84"/>
      <c r="O112" s="84"/>
    </row>
    <row r="113" spans="1:19" s="8" customFormat="1" ht="72" customHeight="1" x14ac:dyDescent="0.3">
      <c r="A113" s="87"/>
      <c r="B113" s="402"/>
      <c r="C113" s="403" t="s">
        <v>444</v>
      </c>
      <c r="D113" s="403" t="s">
        <v>479</v>
      </c>
      <c r="E113" s="404" t="s">
        <v>480</v>
      </c>
      <c r="F113" s="404"/>
      <c r="G113" s="405"/>
      <c r="H113" s="406" t="s">
        <v>481</v>
      </c>
      <c r="I113" s="404"/>
      <c r="J113" s="404"/>
      <c r="Q113" s="1"/>
      <c r="R113" s="1"/>
      <c r="S113" s="1"/>
    </row>
    <row r="114" spans="1:19" s="8" customFormat="1" ht="18" customHeight="1" x14ac:dyDescent="0.3">
      <c r="A114" s="87"/>
      <c r="B114" s="407"/>
      <c r="C114" s="408"/>
      <c r="D114" s="408"/>
      <c r="E114" s="409" t="s">
        <v>17</v>
      </c>
      <c r="F114" s="410" t="s">
        <v>13</v>
      </c>
      <c r="G114" s="409" t="s">
        <v>14</v>
      </c>
      <c r="H114" s="410" t="s">
        <v>17</v>
      </c>
      <c r="I114" s="410" t="s">
        <v>13</v>
      </c>
      <c r="J114" s="411" t="s">
        <v>14</v>
      </c>
      <c r="Q114" s="1"/>
      <c r="R114" s="1"/>
      <c r="S114" s="1"/>
    </row>
    <row r="115" spans="1:19" s="8" customFormat="1" ht="15" customHeight="1" x14ac:dyDescent="0.3">
      <c r="A115" s="87"/>
      <c r="B115" s="412" t="s">
        <v>163</v>
      </c>
      <c r="C115" s="249"/>
      <c r="D115" s="249"/>
      <c r="E115" s="21"/>
      <c r="F115" s="21"/>
      <c r="G115" s="21"/>
      <c r="H115" s="413"/>
      <c r="I115" s="15"/>
      <c r="J115" s="87"/>
      <c r="Q115" s="1"/>
      <c r="R115" s="1"/>
      <c r="S115" s="1"/>
    </row>
    <row r="116" spans="1:19" s="1" customFormat="1" ht="15" customHeight="1" x14ac:dyDescent="0.3">
      <c r="A116" s="87"/>
      <c r="B116" s="414" t="s">
        <v>482</v>
      </c>
      <c r="C116" s="29">
        <f>K67</f>
        <v>0.17018950437317784</v>
      </c>
      <c r="D116" s="341">
        <f>D34*K67</f>
        <v>7.6959693877551016</v>
      </c>
      <c r="E116" s="415">
        <v>31.86</v>
      </c>
      <c r="F116" s="416">
        <v>14.95</v>
      </c>
      <c r="G116" s="415">
        <v>67.92</v>
      </c>
      <c r="H116" s="417">
        <f>($C116/(E116-$C116*(E116+1))/0.408)</f>
        <v>1.5880079213072339E-2</v>
      </c>
      <c r="I116" s="418">
        <f>($C116/(F116-$C116*(F116+1))/0.408)</f>
        <v>3.4091938087405189E-2</v>
      </c>
      <c r="J116" s="418">
        <f>($C116/(G116-$C116*(G116+1))/0.408)</f>
        <v>7.4235119102074778E-3</v>
      </c>
      <c r="K116" s="8"/>
      <c r="L116" s="8"/>
      <c r="M116" s="8"/>
      <c r="N116" s="8"/>
    </row>
    <row r="117" spans="1:19" s="1" customFormat="1" ht="15" customHeight="1" x14ac:dyDescent="0.3">
      <c r="A117" s="87"/>
      <c r="B117" s="414" t="s">
        <v>483</v>
      </c>
      <c r="C117" s="29">
        <f>K68</f>
        <v>0.2820017559262511</v>
      </c>
      <c r="D117" s="341">
        <f>D35*K68</f>
        <v>11.778047205055188</v>
      </c>
      <c r="E117" s="27">
        <v>23.18</v>
      </c>
      <c r="F117" s="27">
        <v>14.27</v>
      </c>
      <c r="G117" s="27">
        <v>37.65</v>
      </c>
      <c r="H117" s="417">
        <f>(C117/(E117-C117*(E117+1))/0.408)</f>
        <v>4.2245121273506298E-2</v>
      </c>
      <c r="I117" s="418">
        <f>($C117/(F117-$C117*(F117+1))/0.408)</f>
        <v>6.9368962863651421E-2</v>
      </c>
      <c r="J117" s="418">
        <f>($C117/(G117-$C117*(G117+1))/0.408)</f>
        <v>2.5837923039760922E-2</v>
      </c>
      <c r="K117" s="8"/>
      <c r="L117" s="8"/>
      <c r="M117" s="8"/>
      <c r="N117" s="8"/>
    </row>
    <row r="118" spans="1:19" s="1" customFormat="1" ht="15" customHeight="1" x14ac:dyDescent="0.3">
      <c r="A118" s="87"/>
      <c r="B118" s="414" t="s">
        <v>484</v>
      </c>
      <c r="C118" s="29">
        <f>K71</f>
        <v>0.17547559421818021</v>
      </c>
      <c r="D118" s="341">
        <f>D38*K71</f>
        <v>5.0478898545534019</v>
      </c>
      <c r="E118" s="27">
        <v>20.89</v>
      </c>
      <c r="F118" s="27">
        <v>14.96</v>
      </c>
      <c r="G118" s="27">
        <v>29.17</v>
      </c>
      <c r="H118" s="417">
        <f>(C118/(E118-C118*(E118+1))/0.408)</f>
        <v>2.5226775536546821E-2</v>
      </c>
      <c r="I118" s="418">
        <f>($C118/(F118-$C118*(F118+1))/0.408)</f>
        <v>3.537073409322012E-2</v>
      </c>
      <c r="J118" s="418">
        <f>($C118/(G118-$C118*(G118+1))/0.408)</f>
        <v>1.8013445227580041E-2</v>
      </c>
      <c r="K118" s="8"/>
      <c r="L118" s="8"/>
      <c r="M118" s="8"/>
      <c r="N118" s="8"/>
    </row>
    <row r="119" spans="1:19" s="1" customFormat="1" ht="15" customHeight="1" x14ac:dyDescent="0.3">
      <c r="A119" s="87"/>
      <c r="B119" s="419" t="s">
        <v>164</v>
      </c>
      <c r="C119" s="420"/>
      <c r="D119" s="420"/>
      <c r="E119" s="27"/>
      <c r="F119" s="27"/>
      <c r="G119" s="27"/>
      <c r="H119" s="421"/>
      <c r="I119" s="422"/>
      <c r="J119" s="422"/>
      <c r="K119" s="8"/>
      <c r="L119" s="8"/>
      <c r="M119" s="8"/>
      <c r="N119" s="8"/>
    </row>
    <row r="120" spans="1:19" s="1" customFormat="1" ht="15" customHeight="1" x14ac:dyDescent="0.3">
      <c r="A120" s="87"/>
      <c r="B120" s="414" t="s">
        <v>482</v>
      </c>
      <c r="C120" s="423">
        <f>L67</f>
        <v>0.11778115501519756</v>
      </c>
      <c r="D120" s="341">
        <f>F34*K67</f>
        <v>3.800331632653061</v>
      </c>
      <c r="E120" s="415">
        <v>31.86</v>
      </c>
      <c r="F120" s="416">
        <v>14.95</v>
      </c>
      <c r="G120" s="415">
        <v>67.92</v>
      </c>
      <c r="H120" s="417">
        <f>(C120/(E120-C120*(E120+1))/0.408)</f>
        <v>1.0313764903416902E-2</v>
      </c>
      <c r="I120" s="418">
        <f t="shared" ref="I120:J122" si="14">($C120/(F120-$C120*(F120+1))/0.408)</f>
        <v>2.2084819499202924E-2</v>
      </c>
      <c r="J120" s="418">
        <f t="shared" si="14"/>
        <v>4.8272094220988956E-3</v>
      </c>
      <c r="K120" s="8"/>
      <c r="L120" s="8"/>
      <c r="M120" s="8"/>
      <c r="N120" s="8"/>
    </row>
    <row r="121" spans="1:19" ht="15" customHeight="1" x14ac:dyDescent="0.3">
      <c r="A121" s="87"/>
      <c r="B121" s="414" t="s">
        <v>483</v>
      </c>
      <c r="C121" s="423">
        <f>L68</f>
        <v>0.2</v>
      </c>
      <c r="D121" s="341">
        <f>F35*K68</f>
        <v>4.2778536253328117</v>
      </c>
      <c r="E121" s="27">
        <v>23.18</v>
      </c>
      <c r="F121" s="27">
        <v>14.27</v>
      </c>
      <c r="G121" s="27">
        <v>37.65</v>
      </c>
      <c r="H121" s="417">
        <f>(C121/(E121-C121*(E121+1))/0.408)</f>
        <v>2.6722420324431562E-2</v>
      </c>
      <c r="I121" s="418">
        <f t="shared" si="14"/>
        <v>4.3705071186819953E-2</v>
      </c>
      <c r="J121" s="418">
        <f t="shared" si="14"/>
        <v>1.6383558771102025E-2</v>
      </c>
      <c r="K121" s="8"/>
      <c r="L121" s="8"/>
      <c r="M121" s="8"/>
      <c r="N121" s="8"/>
      <c r="O121" s="1"/>
      <c r="P121" s="1"/>
      <c r="Q121" s="1"/>
      <c r="R121" s="1"/>
      <c r="S121" s="1"/>
    </row>
    <row r="122" spans="1:19" ht="15" customHeight="1" x14ac:dyDescent="0.3">
      <c r="A122" s="87"/>
      <c r="B122" s="424" t="s">
        <v>484</v>
      </c>
      <c r="C122" s="425">
        <f>L69</f>
        <v>0.21665381649961449</v>
      </c>
      <c r="D122" s="348">
        <f>F38*K71</f>
        <v>1.6640444795187579</v>
      </c>
      <c r="E122" s="40">
        <v>20.89</v>
      </c>
      <c r="F122" s="40">
        <v>14.96</v>
      </c>
      <c r="G122" s="40">
        <v>29.17</v>
      </c>
      <c r="H122" s="426">
        <f>(C122/(E122-C122*(E122+1))/0.408)</f>
        <v>3.2885336280159057E-2</v>
      </c>
      <c r="I122" s="427">
        <f t="shared" si="14"/>
        <v>4.6166300464399464E-2</v>
      </c>
      <c r="J122" s="427">
        <f t="shared" si="14"/>
        <v>2.346137278172971E-2</v>
      </c>
      <c r="K122" s="8"/>
      <c r="L122" s="8"/>
      <c r="M122" s="8"/>
      <c r="N122" s="8"/>
      <c r="O122" s="1"/>
      <c r="P122" s="1"/>
      <c r="Q122" s="1"/>
      <c r="R122" s="1"/>
      <c r="S122" s="1"/>
    </row>
    <row r="123" spans="1:19" ht="18" customHeight="1" x14ac:dyDescent="0.3">
      <c r="A123" s="87"/>
      <c r="B123" s="428" t="s">
        <v>20</v>
      </c>
      <c r="C123" s="240" t="s">
        <v>193</v>
      </c>
      <c r="D123" s="240" t="s">
        <v>485</v>
      </c>
      <c r="E123" s="242" t="s">
        <v>486</v>
      </c>
      <c r="F123" s="243"/>
      <c r="G123" s="349"/>
      <c r="H123" s="207" t="s">
        <v>487</v>
      </c>
      <c r="I123" s="139"/>
      <c r="J123" s="139"/>
      <c r="K123" s="8"/>
      <c r="L123" s="8"/>
      <c r="M123" s="8"/>
      <c r="N123" s="8"/>
      <c r="O123" s="1"/>
      <c r="P123" s="1"/>
      <c r="Q123" s="1"/>
      <c r="R123" s="1"/>
    </row>
    <row r="124" spans="1:19" ht="18" customHeight="1" x14ac:dyDescent="0.3">
      <c r="A124" s="87"/>
      <c r="B124" s="350" t="str">
        <f>C123</f>
        <v>[P5a]</v>
      </c>
      <c r="C124" s="351" t="s">
        <v>488</v>
      </c>
      <c r="D124" s="352"/>
      <c r="E124" s="352"/>
      <c r="F124" s="352"/>
      <c r="G124" s="87"/>
      <c r="H124" s="87"/>
      <c r="I124" s="8"/>
      <c r="J124" s="8"/>
      <c r="K124" s="8"/>
      <c r="L124" s="8"/>
      <c r="M124" s="8"/>
      <c r="N124" s="8"/>
    </row>
    <row r="125" spans="1:19" ht="18" customHeight="1" x14ac:dyDescent="0.3">
      <c r="A125" s="87"/>
      <c r="B125" s="350" t="str">
        <f>D123</f>
        <v>[P5b]</v>
      </c>
      <c r="C125" s="351" t="s">
        <v>489</v>
      </c>
      <c r="D125" s="350"/>
      <c r="E125" s="350"/>
      <c r="G125" s="350"/>
      <c r="H125" s="350"/>
      <c r="I125" s="350"/>
      <c r="J125" s="8"/>
      <c r="K125" s="8"/>
      <c r="L125" s="8"/>
      <c r="M125" s="8"/>
      <c r="N125" s="8"/>
    </row>
    <row r="126" spans="1:19" ht="120" customHeight="1" x14ac:dyDescent="0.3">
      <c r="A126" s="87"/>
      <c r="B126" s="350" t="str">
        <f>E123</f>
        <v>[P5c]</v>
      </c>
      <c r="C126" s="401" t="s">
        <v>543</v>
      </c>
      <c r="D126" s="401"/>
      <c r="E126" s="401"/>
      <c r="F126" s="401"/>
      <c r="G126" s="401"/>
      <c r="H126" s="401"/>
      <c r="I126" s="401"/>
      <c r="J126" s="401"/>
      <c r="K126" s="401"/>
      <c r="L126" s="401"/>
      <c r="M126" s="401"/>
      <c r="N126" s="401"/>
      <c r="O126" s="401"/>
    </row>
    <row r="127" spans="1:19" ht="75" customHeight="1" x14ac:dyDescent="0.3">
      <c r="A127" s="87"/>
      <c r="B127" s="350" t="str">
        <f>H123</f>
        <v>[P5d]</v>
      </c>
      <c r="C127" s="401" t="s">
        <v>535</v>
      </c>
      <c r="D127" s="401"/>
      <c r="E127" s="401"/>
      <c r="F127" s="401"/>
      <c r="G127" s="401"/>
      <c r="H127" s="401"/>
      <c r="I127" s="401"/>
      <c r="J127" s="401"/>
      <c r="K127" s="401"/>
      <c r="L127" s="401"/>
      <c r="M127" s="401"/>
      <c r="N127" s="401"/>
      <c r="O127" s="401"/>
    </row>
    <row r="128" spans="1:19" s="8" customFormat="1" ht="18" customHeight="1" x14ac:dyDescent="0.3">
      <c r="A128" s="79" t="s">
        <v>92</v>
      </c>
      <c r="B128" s="75"/>
      <c r="C128" s="75"/>
      <c r="D128" s="75"/>
      <c r="E128" s="75"/>
      <c r="F128" s="75"/>
      <c r="G128" s="75"/>
      <c r="H128" s="75"/>
      <c r="I128" s="75"/>
      <c r="J128" s="75"/>
      <c r="K128" s="75"/>
      <c r="L128" s="75"/>
      <c r="M128" s="75"/>
      <c r="N128" s="75"/>
      <c r="O128" s="75"/>
    </row>
    <row r="129" spans="1:15" s="1" customFormat="1" ht="18" customHeight="1" x14ac:dyDescent="0.3">
      <c r="A129" s="76" t="s">
        <v>93</v>
      </c>
      <c r="B129" s="136" t="s">
        <v>544</v>
      </c>
      <c r="C129" s="136"/>
      <c r="D129" s="136"/>
      <c r="E129" s="136"/>
      <c r="F129" s="136"/>
      <c r="G129" s="136"/>
      <c r="H129" s="136"/>
      <c r="I129" s="136"/>
      <c r="J129" s="136"/>
      <c r="K129" s="136"/>
      <c r="L129" s="136"/>
      <c r="M129" s="136"/>
      <c r="N129" s="136"/>
      <c r="O129" s="136"/>
    </row>
    <row r="130" spans="1:15" s="1" customFormat="1" ht="18" customHeight="1" x14ac:dyDescent="0.3">
      <c r="A130" s="76" t="s">
        <v>95</v>
      </c>
      <c r="B130" s="136" t="s">
        <v>545</v>
      </c>
      <c r="C130" s="136"/>
      <c r="D130" s="136"/>
      <c r="E130" s="136"/>
      <c r="F130" s="136"/>
      <c r="G130" s="136"/>
      <c r="H130" s="136"/>
      <c r="I130" s="136"/>
      <c r="J130" s="136"/>
      <c r="K130" s="136"/>
      <c r="L130" s="136"/>
      <c r="M130" s="136"/>
      <c r="N130" s="136"/>
      <c r="O130" s="136"/>
    </row>
    <row r="131" spans="1:15" s="1" customFormat="1" ht="30" customHeight="1" x14ac:dyDescent="0.3">
      <c r="A131" s="76" t="s">
        <v>97</v>
      </c>
      <c r="B131" s="136" t="s">
        <v>546</v>
      </c>
      <c r="C131" s="136"/>
      <c r="D131" s="136"/>
      <c r="E131" s="136"/>
      <c r="F131" s="136"/>
      <c r="G131" s="136"/>
      <c r="H131" s="136"/>
      <c r="I131" s="136"/>
      <c r="J131" s="136"/>
      <c r="K131" s="136"/>
      <c r="L131" s="136"/>
      <c r="M131" s="136"/>
      <c r="N131" s="136"/>
      <c r="O131" s="136"/>
    </row>
    <row r="132" spans="1:15" s="1" customFormat="1" ht="30" customHeight="1" x14ac:dyDescent="0.3">
      <c r="A132" s="76" t="s">
        <v>99</v>
      </c>
      <c r="B132" s="136" t="s">
        <v>494</v>
      </c>
      <c r="C132" s="136"/>
      <c r="D132" s="136"/>
      <c r="E132" s="136"/>
      <c r="F132" s="136"/>
      <c r="G132" s="136"/>
      <c r="H132" s="136"/>
      <c r="I132" s="136"/>
      <c r="J132" s="136"/>
      <c r="K132" s="136"/>
      <c r="L132" s="136"/>
      <c r="M132" s="136"/>
      <c r="N132" s="136"/>
      <c r="O132" s="136"/>
    </row>
    <row r="133" spans="1:15" s="1" customFormat="1" ht="30" customHeight="1" x14ac:dyDescent="0.3">
      <c r="A133" s="76" t="s">
        <v>101</v>
      </c>
      <c r="B133" s="136" t="s">
        <v>528</v>
      </c>
      <c r="C133" s="136"/>
      <c r="D133" s="136"/>
      <c r="E133" s="136"/>
      <c r="F133" s="136"/>
      <c r="G133" s="136"/>
      <c r="H133" s="136"/>
      <c r="I133" s="136"/>
      <c r="J133" s="136"/>
      <c r="K133" s="136"/>
      <c r="L133" s="136"/>
      <c r="M133" s="136"/>
      <c r="N133" s="136"/>
      <c r="O133" s="136"/>
    </row>
    <row r="134" spans="1:15" s="1" customFormat="1" ht="30" customHeight="1" x14ac:dyDescent="0.3">
      <c r="A134" s="76" t="s">
        <v>103</v>
      </c>
      <c r="B134" s="136" t="s">
        <v>547</v>
      </c>
      <c r="C134" s="136"/>
      <c r="D134" s="136"/>
      <c r="E134" s="136"/>
      <c r="F134" s="136"/>
      <c r="G134" s="136"/>
      <c r="H134" s="136"/>
      <c r="I134" s="136"/>
      <c r="J134" s="136"/>
      <c r="K134" s="136"/>
      <c r="L134" s="136"/>
      <c r="M134" s="136"/>
      <c r="N134" s="136"/>
      <c r="O134" s="136"/>
    </row>
    <row r="135" spans="1:15" s="1" customFormat="1" ht="30" customHeight="1" x14ac:dyDescent="0.3">
      <c r="A135" s="76" t="s">
        <v>105</v>
      </c>
      <c r="B135" s="136" t="s">
        <v>527</v>
      </c>
      <c r="C135" s="136"/>
      <c r="D135" s="136"/>
      <c r="E135" s="136"/>
      <c r="F135" s="136"/>
      <c r="G135" s="136"/>
      <c r="H135" s="136"/>
      <c r="I135" s="136"/>
      <c r="J135" s="136"/>
      <c r="K135" s="136"/>
      <c r="L135" s="136"/>
      <c r="M135" s="136"/>
      <c r="N135" s="136"/>
      <c r="O135" s="136"/>
    </row>
    <row r="136" spans="1:15" s="1" customFormat="1" ht="30" customHeight="1" x14ac:dyDescent="0.3">
      <c r="A136" s="76" t="s">
        <v>107</v>
      </c>
      <c r="B136" s="136" t="s">
        <v>529</v>
      </c>
      <c r="C136" s="136"/>
      <c r="D136" s="136"/>
      <c r="E136" s="136"/>
      <c r="F136" s="136"/>
      <c r="G136" s="136"/>
      <c r="H136" s="136"/>
      <c r="I136" s="136"/>
      <c r="J136" s="136"/>
      <c r="K136" s="136"/>
      <c r="L136" s="136"/>
      <c r="M136" s="136"/>
      <c r="N136" s="136"/>
      <c r="O136" s="136"/>
    </row>
    <row r="137" spans="1:15" s="1" customFormat="1" ht="30" customHeight="1" x14ac:dyDescent="0.3">
      <c r="A137" s="76" t="s">
        <v>109</v>
      </c>
      <c r="B137" s="136" t="s">
        <v>533</v>
      </c>
      <c r="C137" s="136"/>
      <c r="D137" s="136"/>
      <c r="E137" s="136"/>
      <c r="F137" s="136"/>
      <c r="G137" s="136"/>
      <c r="H137" s="136"/>
      <c r="I137" s="136"/>
      <c r="J137" s="136"/>
      <c r="K137" s="136"/>
      <c r="L137" s="136"/>
      <c r="M137" s="136"/>
      <c r="N137" s="136"/>
      <c r="O137" s="136"/>
    </row>
    <row r="138" spans="1:15" s="1" customFormat="1" ht="30" customHeight="1" x14ac:dyDescent="0.3">
      <c r="A138" s="76" t="s">
        <v>204</v>
      </c>
      <c r="B138" s="136" t="s">
        <v>532</v>
      </c>
      <c r="C138" s="136"/>
      <c r="D138" s="136"/>
      <c r="E138" s="136"/>
      <c r="F138" s="136"/>
      <c r="G138" s="136"/>
      <c r="H138" s="136"/>
      <c r="I138" s="136"/>
      <c r="J138" s="136"/>
      <c r="K138" s="136"/>
      <c r="L138" s="136"/>
      <c r="M138" s="136"/>
      <c r="N138" s="136"/>
      <c r="O138" s="136"/>
    </row>
    <row r="139" spans="1:15" s="1" customFormat="1" ht="18" customHeight="1" x14ac:dyDescent="0.3">
      <c r="A139" s="76" t="s">
        <v>491</v>
      </c>
      <c r="B139" s="136" t="s">
        <v>526</v>
      </c>
      <c r="C139" s="136"/>
      <c r="D139" s="136"/>
      <c r="E139" s="136"/>
      <c r="F139" s="136"/>
      <c r="G139" s="136"/>
      <c r="H139" s="136"/>
      <c r="I139" s="136"/>
      <c r="J139" s="136"/>
      <c r="K139" s="136"/>
      <c r="L139" s="136"/>
      <c r="M139" s="136"/>
      <c r="N139" s="136"/>
      <c r="O139" s="136"/>
    </row>
    <row r="140" spans="1:15" s="1" customFormat="1" ht="18" customHeight="1" x14ac:dyDescent="0.3">
      <c r="A140" s="76" t="s">
        <v>492</v>
      </c>
      <c r="B140" s="136" t="s">
        <v>530</v>
      </c>
      <c r="C140" s="136"/>
      <c r="D140" s="136"/>
      <c r="E140" s="136"/>
      <c r="F140" s="136"/>
      <c r="G140" s="136"/>
      <c r="H140" s="136"/>
      <c r="I140" s="136"/>
      <c r="J140" s="136"/>
      <c r="K140" s="136"/>
      <c r="L140" s="136"/>
      <c r="M140" s="136"/>
      <c r="N140" s="136"/>
      <c r="O140" s="136"/>
    </row>
    <row r="141" spans="1:15" s="1" customFormat="1" ht="18" customHeight="1" x14ac:dyDescent="0.3">
      <c r="A141" s="76" t="s">
        <v>493</v>
      </c>
      <c r="B141" s="136" t="s">
        <v>531</v>
      </c>
      <c r="C141" s="136"/>
      <c r="D141" s="136"/>
      <c r="E141" s="136"/>
      <c r="F141" s="136"/>
      <c r="G141" s="136"/>
      <c r="H141" s="136"/>
      <c r="I141" s="136"/>
      <c r="J141" s="136"/>
      <c r="K141" s="136"/>
      <c r="L141" s="136"/>
      <c r="M141" s="136"/>
      <c r="N141" s="136"/>
      <c r="O141" s="136"/>
    </row>
    <row r="142" spans="1:15" s="1" customFormat="1" ht="30" customHeight="1" x14ac:dyDescent="0.3">
      <c r="A142" s="76" t="s">
        <v>495</v>
      </c>
      <c r="B142" s="136" t="s">
        <v>525</v>
      </c>
      <c r="C142" s="136"/>
      <c r="D142" s="136"/>
      <c r="E142" s="136"/>
      <c r="F142" s="136"/>
      <c r="G142" s="136"/>
      <c r="H142" s="136"/>
      <c r="I142" s="136"/>
      <c r="J142" s="136"/>
      <c r="K142" s="136"/>
      <c r="L142" s="136"/>
      <c r="M142" s="136"/>
      <c r="N142" s="136"/>
      <c r="O142" s="136"/>
    </row>
    <row r="143" spans="1:15" s="1" customFormat="1" ht="18" customHeight="1" x14ac:dyDescent="0.3">
      <c r="A143" s="76" t="s">
        <v>496</v>
      </c>
      <c r="B143" s="136" t="s">
        <v>548</v>
      </c>
      <c r="C143" s="136"/>
      <c r="D143" s="136"/>
      <c r="E143" s="136"/>
      <c r="F143" s="136"/>
      <c r="G143" s="136"/>
      <c r="H143" s="136"/>
      <c r="I143" s="136"/>
      <c r="J143" s="136"/>
      <c r="K143" s="136"/>
      <c r="L143" s="136"/>
      <c r="M143" s="136"/>
      <c r="N143" s="136"/>
      <c r="O143" s="136"/>
    </row>
    <row r="144" spans="1:15" s="1" customFormat="1" ht="30" customHeight="1" x14ac:dyDescent="0.3">
      <c r="A144" s="76" t="s">
        <v>497</v>
      </c>
      <c r="B144" s="136" t="s">
        <v>490</v>
      </c>
      <c r="C144" s="136"/>
      <c r="D144" s="136"/>
      <c r="E144" s="136"/>
      <c r="F144" s="136"/>
      <c r="G144" s="136"/>
      <c r="H144" s="136"/>
      <c r="I144" s="136"/>
      <c r="J144" s="136"/>
      <c r="K144" s="136"/>
      <c r="L144" s="136"/>
      <c r="M144" s="136"/>
      <c r="N144" s="136"/>
      <c r="O144" s="136"/>
    </row>
    <row r="150" spans="2:11" x14ac:dyDescent="0.3">
      <c r="B150" s="8"/>
      <c r="D150" s="279"/>
      <c r="E150" s="279"/>
      <c r="F150" s="429"/>
      <c r="G150" s="279"/>
      <c r="H150" s="279"/>
      <c r="I150" s="430"/>
      <c r="J150" s="431"/>
      <c r="K150" s="431"/>
    </row>
    <row r="151" spans="2:11" x14ac:dyDescent="0.3">
      <c r="B151" s="279"/>
      <c r="D151" s="279"/>
      <c r="E151" s="279"/>
      <c r="F151" s="429"/>
      <c r="G151" s="279"/>
      <c r="H151" s="279"/>
      <c r="I151" s="430"/>
      <c r="J151" s="431"/>
      <c r="K151" s="431"/>
    </row>
    <row r="152" spans="2:11" x14ac:dyDescent="0.3">
      <c r="D152" s="279"/>
      <c r="F152" s="429"/>
      <c r="G152" s="279"/>
      <c r="H152" s="279"/>
      <c r="I152" s="430"/>
      <c r="J152" s="431"/>
      <c r="K152" s="431"/>
    </row>
    <row r="153" spans="2:11" x14ac:dyDescent="0.3">
      <c r="B153" s="279"/>
      <c r="D153" s="279"/>
      <c r="F153" s="429"/>
      <c r="G153" s="279"/>
      <c r="I153" s="430"/>
      <c r="J153" s="431"/>
      <c r="K153" s="431"/>
    </row>
    <row r="154" spans="2:11" x14ac:dyDescent="0.3">
      <c r="B154" s="279"/>
      <c r="D154" s="279"/>
      <c r="F154" s="429"/>
      <c r="G154" s="279"/>
      <c r="I154" s="430"/>
      <c r="J154" s="431"/>
      <c r="K154" s="431"/>
    </row>
    <row r="155" spans="2:11" x14ac:dyDescent="0.3">
      <c r="B155" s="429"/>
      <c r="D155" s="279"/>
      <c r="E155" s="279"/>
      <c r="F155" s="279"/>
      <c r="G155" s="279"/>
      <c r="H155" s="279"/>
      <c r="I155" s="432"/>
      <c r="J155" s="432"/>
      <c r="K155" s="432"/>
    </row>
    <row r="156" spans="2:11" x14ac:dyDescent="0.3">
      <c r="B156" s="279"/>
      <c r="G156" s="279"/>
      <c r="H156" s="279"/>
      <c r="I156" s="432"/>
      <c r="J156" s="432"/>
      <c r="K156" s="432"/>
    </row>
  </sheetData>
  <mergeCells count="83">
    <mergeCell ref="I150:I154"/>
    <mergeCell ref="B139:O139"/>
    <mergeCell ref="B140:O140"/>
    <mergeCell ref="B141:O141"/>
    <mergeCell ref="B142:O142"/>
    <mergeCell ref="B143:O143"/>
    <mergeCell ref="B144:O144"/>
    <mergeCell ref="B133:O133"/>
    <mergeCell ref="B134:O134"/>
    <mergeCell ref="B135:O135"/>
    <mergeCell ref="B136:O136"/>
    <mergeCell ref="B137:O137"/>
    <mergeCell ref="B138:O138"/>
    <mergeCell ref="C126:O126"/>
    <mergeCell ref="C127:O127"/>
    <mergeCell ref="B129:O129"/>
    <mergeCell ref="B130:O130"/>
    <mergeCell ref="B131:O131"/>
    <mergeCell ref="B132:O132"/>
    <mergeCell ref="C111:O111"/>
    <mergeCell ref="C113:C114"/>
    <mergeCell ref="D113:D114"/>
    <mergeCell ref="E113:G113"/>
    <mergeCell ref="H113:J113"/>
    <mergeCell ref="E123:G123"/>
    <mergeCell ref="H123:J123"/>
    <mergeCell ref="B100:D100"/>
    <mergeCell ref="B101:D101"/>
    <mergeCell ref="B103:D103"/>
    <mergeCell ref="B104:D104"/>
    <mergeCell ref="C108:M108"/>
    <mergeCell ref="C109:O109"/>
    <mergeCell ref="C80:O80"/>
    <mergeCell ref="B83:C84"/>
    <mergeCell ref="D83:D84"/>
    <mergeCell ref="E83:H83"/>
    <mergeCell ref="I83:L83"/>
    <mergeCell ref="B98:C98"/>
    <mergeCell ref="D98:H98"/>
    <mergeCell ref="I98:L98"/>
    <mergeCell ref="C61:O61"/>
    <mergeCell ref="B64:C65"/>
    <mergeCell ref="D64:F64"/>
    <mergeCell ref="G64:I64"/>
    <mergeCell ref="J64:L64"/>
    <mergeCell ref="B79:C79"/>
    <mergeCell ref="D79:I79"/>
    <mergeCell ref="J79:L79"/>
    <mergeCell ref="C46:H46"/>
    <mergeCell ref="I46:J46"/>
    <mergeCell ref="K46:L46"/>
    <mergeCell ref="B51:B52"/>
    <mergeCell ref="C51:D51"/>
    <mergeCell ref="E51:F51"/>
    <mergeCell ref="B28:M28"/>
    <mergeCell ref="B31:B32"/>
    <mergeCell ref="C31:D31"/>
    <mergeCell ref="E31:F31"/>
    <mergeCell ref="G31:H31"/>
    <mergeCell ref="I31:J31"/>
    <mergeCell ref="K31:L31"/>
    <mergeCell ref="B22:O22"/>
    <mergeCell ref="B23:M23"/>
    <mergeCell ref="B24:O24"/>
    <mergeCell ref="B25:O25"/>
    <mergeCell ref="B26:O26"/>
    <mergeCell ref="B27:O27"/>
    <mergeCell ref="O2:O3"/>
    <mergeCell ref="F16:H16"/>
    <mergeCell ref="K16:M16"/>
    <mergeCell ref="B19:M19"/>
    <mergeCell ref="B20:M20"/>
    <mergeCell ref="B21:M21"/>
    <mergeCell ref="A1:O1"/>
    <mergeCell ref="A2:A3"/>
    <mergeCell ref="B2:B3"/>
    <mergeCell ref="C2:C3"/>
    <mergeCell ref="D2:E2"/>
    <mergeCell ref="F2:H2"/>
    <mergeCell ref="I2:I3"/>
    <mergeCell ref="J2:J3"/>
    <mergeCell ref="K2:M2"/>
    <mergeCell ref="N2:N3"/>
  </mergeCells>
  <hyperlinks>
    <hyperlink ref="B142" r:id="rId1" display="http://citeseerx.ist.psu.edu/viewdoc/download;jsessionid=E2DA56236ADC8C0F671F09D8C9D24176?doi=10.1.1.318.6944&amp;rep=rep1&amp;type=pdf" xr:uid="{6C1315B8-D04E-452D-9292-6A95E3DB2F7F}"/>
  </hyperlinks>
  <pageMargins left="0.7" right="0.7" top="0.75" bottom="0.75" header="0.3" footer="0.3"/>
  <pageSetup scale="54" orientation="landscape" verticalDpi="0" r:id="rId2"/>
  <rowBreaks count="3" manualBreakCount="3">
    <brk id="28" max="14" man="1"/>
    <brk id="62" max="14" man="1"/>
    <brk id="111" max="14" man="1"/>
  </rowBreaks>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 id="{1935E3B4-3306-4BB1-A0B4-A94B417068A8}">
            <x14:iconSet showValue="0" custom="1">
              <x14:cfvo type="percent">
                <xm:f>0</xm:f>
              </x14:cfvo>
              <x14:cfvo type="num">
                <xm:f>-1</xm:f>
              </x14:cfvo>
              <x14:cfvo type="num">
                <xm:f>1</xm:f>
              </x14:cfvo>
              <x14:cfIcon iconSet="NoIcons" iconId="0"/>
              <x14:cfIcon iconSet="NoIcons" iconId="0"/>
              <x14:cfIcon iconSet="3Flags" iconId="0"/>
            </x14:iconSet>
          </x14:cfRule>
          <xm:sqref>A16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9F39-102A-409A-8B51-6234E128A7F2}">
  <dimension ref="A1:Z81"/>
  <sheetViews>
    <sheetView topLeftCell="A71" workbookViewId="0">
      <selection activeCell="B77" sqref="B77:J77"/>
    </sheetView>
  </sheetViews>
  <sheetFormatPr defaultRowHeight="14.4" x14ac:dyDescent="0.3"/>
  <cols>
    <col min="2" max="2" width="12.5546875" style="8" customWidth="1"/>
    <col min="3" max="3" width="13.88671875" style="8" customWidth="1"/>
    <col min="4" max="8" width="12.5546875" style="8" customWidth="1"/>
    <col min="9" max="13" width="12.6640625" style="8" customWidth="1"/>
    <col min="14" max="26" width="13.21875" style="258" customWidth="1"/>
  </cols>
  <sheetData>
    <row r="1" spans="1:10" ht="24" customHeight="1" x14ac:dyDescent="0.3">
      <c r="A1" s="122" t="s">
        <v>121</v>
      </c>
      <c r="B1" s="122"/>
      <c r="C1" s="122"/>
      <c r="D1" s="122"/>
      <c r="E1" s="122"/>
      <c r="F1" s="122"/>
      <c r="G1" s="122"/>
      <c r="H1" s="122"/>
      <c r="I1" s="122"/>
      <c r="J1" s="122"/>
    </row>
    <row r="2" spans="1:10" ht="18" customHeight="1" x14ac:dyDescent="0.3">
      <c r="A2" s="171" t="s">
        <v>59</v>
      </c>
      <c r="B2" s="172" t="s">
        <v>122</v>
      </c>
      <c r="C2" s="173" t="s">
        <v>123</v>
      </c>
      <c r="D2" s="173"/>
      <c r="E2" s="174" t="s">
        <v>124</v>
      </c>
      <c r="F2" s="175"/>
      <c r="G2" s="172" t="s">
        <v>125</v>
      </c>
      <c r="H2" s="176" t="s">
        <v>126</v>
      </c>
      <c r="I2" s="173"/>
      <c r="J2" s="173"/>
    </row>
    <row r="3" spans="1:10" ht="18" customHeight="1" thickBot="1" x14ac:dyDescent="0.35">
      <c r="A3" s="177"/>
      <c r="B3" s="178"/>
      <c r="C3" s="179" t="s">
        <v>127</v>
      </c>
      <c r="D3" s="179" t="s">
        <v>128</v>
      </c>
      <c r="E3" s="180">
        <v>0.03</v>
      </c>
      <c r="F3" s="181">
        <v>7.0000000000000007E-2</v>
      </c>
      <c r="G3" s="178"/>
      <c r="H3" s="180">
        <v>0</v>
      </c>
      <c r="I3" s="182">
        <v>0.03</v>
      </c>
      <c r="J3" s="183">
        <v>7.0000000000000007E-2</v>
      </c>
    </row>
    <row r="4" spans="1:10" x14ac:dyDescent="0.3">
      <c r="A4" s="184" t="s">
        <v>129</v>
      </c>
      <c r="B4" s="185">
        <f>B$13*C26/100</f>
        <v>37.5</v>
      </c>
      <c r="C4" s="186">
        <v>77.099999999999994</v>
      </c>
      <c r="D4" s="186">
        <f>$C4*AVERAGE(D$43,E$43)</f>
        <v>82.51568265682657</v>
      </c>
      <c r="E4" s="26">
        <f>-PV('[3]COVID VSL 1.0 Old'!$G$56,$D4,1)</f>
        <v>30.425253094197348</v>
      </c>
      <c r="F4" s="187">
        <f>-PV('[3]COVID VSL 1.0 Old'!$G$57,$D4,1)</f>
        <v>14.231976534886533</v>
      </c>
      <c r="G4" s="188">
        <f>AVERAGE(H61,J61)</f>
        <v>0.96425629153811609</v>
      </c>
      <c r="H4" s="186">
        <f>D4*$G4</f>
        <v>79.566266152407636</v>
      </c>
      <c r="I4" s="186">
        <f>E4*$G4</f>
        <v>29.337741717719329</v>
      </c>
      <c r="J4" s="189">
        <f>F4*$G4</f>
        <v>13.723272914787175</v>
      </c>
    </row>
    <row r="5" spans="1:10" x14ac:dyDescent="0.3">
      <c r="A5" s="190" t="s">
        <v>130</v>
      </c>
      <c r="B5" s="185">
        <f>B$13*C27/100</f>
        <v>37.5</v>
      </c>
      <c r="C5" s="186">
        <v>68.2</v>
      </c>
      <c r="D5" s="186">
        <f>$C5*AVERAGE(D$43,E$43)</f>
        <v>72.99052603366502</v>
      </c>
      <c r="E5" s="26">
        <f>-PV('[3]COVID VSL 1.0 Old'!$G$56,$D5,1)</f>
        <v>29.479588448927352</v>
      </c>
      <c r="F5" s="187">
        <f>-PV('[3]COVID VSL 1.0 Old'!$G$57,$D5,1)</f>
        <v>14.183346202866066</v>
      </c>
      <c r="G5" s="188">
        <f>AVERAGE(H62,J62)</f>
        <v>0.94709510731499447</v>
      </c>
      <c r="H5" s="186">
        <f>D5*$G5</f>
        <v>69.12897008683187</v>
      </c>
      <c r="I5" s="186">
        <f>E5*$G5</f>
        <v>27.919973985638723</v>
      </c>
      <c r="J5" s="189">
        <f>F5*$G5</f>
        <v>13.432977794089156</v>
      </c>
    </row>
    <row r="6" spans="1:10" x14ac:dyDescent="0.3">
      <c r="A6" s="184" t="s">
        <v>131</v>
      </c>
      <c r="B6" s="185">
        <f>B$13*C28/100</f>
        <v>748.875</v>
      </c>
      <c r="C6" s="186">
        <v>57</v>
      </c>
      <c r="D6" s="186">
        <f>$C6*AVERAGE(D$43,E$43)</f>
        <v>61.003812080922373</v>
      </c>
      <c r="E6" s="26">
        <f>-PV('[3]COVID VSL 1.0 Old'!$G$56,$D6,1)</f>
        <v>27.840971991047162</v>
      </c>
      <c r="F6" s="187">
        <f>-PV('[3]COVID VSL 1.0 Old'!$G$57,$D6,1)</f>
        <v>14.055368904787329</v>
      </c>
      <c r="G6" s="188">
        <f>AVERAGE(H51,J51)</f>
        <v>0.92101932844243795</v>
      </c>
      <c r="H6" s="186">
        <f>D6*$G6</f>
        <v>56.185690035199805</v>
      </c>
      <c r="I6" s="186">
        <f>E6*$G6</f>
        <v>25.642073326378981</v>
      </c>
      <c r="J6" s="189">
        <f>F6*$G6</f>
        <v>12.94526642969795</v>
      </c>
    </row>
    <row r="7" spans="1:10" x14ac:dyDescent="0.3">
      <c r="A7" s="191" t="s">
        <v>132</v>
      </c>
      <c r="B7" s="185">
        <f>B$13*C29/100</f>
        <v>1947.0750000000003</v>
      </c>
      <c r="C7" s="28">
        <v>45.3</v>
      </c>
      <c r="D7" s="186">
        <f>$C7*AVERAGE(D$43,E$43)</f>
        <v>48.481976969575143</v>
      </c>
      <c r="E7" s="26">
        <f>-PV('[3]COVID VSL 1.0 Old'!$G$56,$D7,1)</f>
        <v>25.380814381262372</v>
      </c>
      <c r="F7" s="187">
        <f>-PV('[3]COVID VSL 1.0 Old'!$G$57,$D7,1)</f>
        <v>13.748288714198692</v>
      </c>
      <c r="G7" s="188">
        <f>AVERAGE(H52,J52)</f>
        <v>0.9028449498654928</v>
      </c>
      <c r="H7" s="186">
        <f>D7*$G7</f>
        <v>43.771708066476045</v>
      </c>
      <c r="I7" s="186">
        <f>E7*$G7</f>
        <v>22.914940087596204</v>
      </c>
      <c r="J7" s="189">
        <f>F7*$G7</f>
        <v>12.412573034907039</v>
      </c>
    </row>
    <row r="8" spans="1:10" x14ac:dyDescent="0.3">
      <c r="A8" s="191" t="s">
        <v>133</v>
      </c>
      <c r="B8" s="185">
        <f>B$13*C30/100</f>
        <v>4643.0250000000005</v>
      </c>
      <c r="C8" s="28">
        <v>36.1</v>
      </c>
      <c r="D8" s="186">
        <f>$C8*AVERAGE(D$43,E$43)</f>
        <v>38.635747651250838</v>
      </c>
      <c r="E8" s="26">
        <f>-PV('[3]COVID VSL 1.0 Old'!$G$56,$D8,1)</f>
        <v>22.694280366852595</v>
      </c>
      <c r="F8" s="187">
        <f>-PV('[3]COVID VSL 1.0 Old'!$G$57,$D8,1)</f>
        <v>13.239458818779855</v>
      </c>
      <c r="G8" s="188">
        <f>AVERAGE(H53,J53)</f>
        <v>0.87262096396817967</v>
      </c>
      <c r="H8" s="186">
        <f>D8*$G8</f>
        <v>33.714363359065842</v>
      </c>
      <c r="I8" s="186">
        <f>E8*$G8</f>
        <v>19.803504810287045</v>
      </c>
      <c r="J8" s="189">
        <f>F8*$G8</f>
        <v>11.553029316860695</v>
      </c>
    </row>
    <row r="9" spans="1:10" x14ac:dyDescent="0.3">
      <c r="A9" s="191" t="s">
        <v>134</v>
      </c>
      <c r="B9" s="185">
        <f>B$13*C31/100</f>
        <v>23215.125</v>
      </c>
      <c r="C9" s="28">
        <v>25.7</v>
      </c>
      <c r="D9" s="186">
        <f>$C9*AVERAGE(D$43,E$43)</f>
        <v>27.505227552275525</v>
      </c>
      <c r="E9" s="26">
        <f>-PV('[3]COVID VSL 1.0 Old'!$G$56,$D9,1)</f>
        <v>18.54946933672219</v>
      </c>
      <c r="F9" s="187">
        <f>-PV('[3]COVID VSL 1.0 Old'!$G$57,$D9,1)</f>
        <v>12.063967971273138</v>
      </c>
      <c r="G9" s="188">
        <f>AVERAGE(H64,J64)</f>
        <v>0.82896043842372347</v>
      </c>
      <c r="H9" s="186">
        <f>D9*$G9</f>
        <v>22.800745490678597</v>
      </c>
      <c r="I9" s="186">
        <f>E9*$G9</f>
        <v>15.376776233896642</v>
      </c>
      <c r="J9" s="189">
        <f>F9*$G9</f>
        <v>10.000552178596338</v>
      </c>
    </row>
    <row r="10" spans="1:10" x14ac:dyDescent="0.3">
      <c r="A10" s="191" t="s">
        <v>135</v>
      </c>
      <c r="B10" s="185">
        <f>B$13*C32/100</f>
        <v>31302.974999999999</v>
      </c>
      <c r="C10" s="28">
        <v>15.7</v>
      </c>
      <c r="D10" s="186">
        <f>$C10*AVERAGE(F$43,G$43)</f>
        <v>16.388233355306525</v>
      </c>
      <c r="E10" s="26">
        <f>-PV('[3]COVID VSL 1.0 Old'!$G$56,$D10,1)</f>
        <v>12.798115639131581</v>
      </c>
      <c r="F10" s="187">
        <f>-PV('[3]COVID VSL 1.0 Old'!$G$57,$D10,1)</f>
        <v>9.5721031146902469</v>
      </c>
      <c r="G10" s="188">
        <f>AVERAGE(H65,J65)</f>
        <v>0.80528366682847974</v>
      </c>
      <c r="H10" s="186">
        <f>D10*$G10</f>
        <v>13.197176649202039</v>
      </c>
      <c r="I10" s="186">
        <f>E10*$G10</f>
        <v>10.306113490374791</v>
      </c>
      <c r="J10" s="189">
        <f>F10*$G10</f>
        <v>7.7082582954580738</v>
      </c>
    </row>
    <row r="11" spans="1:10" x14ac:dyDescent="0.3">
      <c r="A11" s="191" t="s">
        <v>136</v>
      </c>
      <c r="B11" s="185">
        <f>B$13*C33/100</f>
        <v>39540.6</v>
      </c>
      <c r="C11" s="28">
        <v>9.1999999999999993</v>
      </c>
      <c r="D11" s="186">
        <f>$C11*AVERAGE(F$43,G$43)</f>
        <v>9.6032959789057344</v>
      </c>
      <c r="E11" s="26">
        <f>-PV('[3]COVID VSL 1.0 Old'!$G$56,$D11,1)</f>
        <v>8.2376470382963376</v>
      </c>
      <c r="F11" s="187">
        <f>-PV('[3]COVID VSL 1.0 Old'!$G$57,$D11,1)</f>
        <v>6.8260231539782037</v>
      </c>
      <c r="G11" s="188">
        <f>AVERAGE(H66,J66)</f>
        <v>0.76330948632542184</v>
      </c>
      <c r="H11" s="186">
        <f>D11*$G11</f>
        <v>7.3302869206895256</v>
      </c>
      <c r="I11" s="186">
        <f>E11*$G11</f>
        <v>6.2878741293321099</v>
      </c>
      <c r="J11" s="189">
        <f>F11*$G11</f>
        <v>5.2103682273085381</v>
      </c>
    </row>
    <row r="12" spans="1:10" x14ac:dyDescent="0.3">
      <c r="A12" s="191" t="s">
        <v>137</v>
      </c>
      <c r="B12" s="185">
        <f>B$13*C34/100</f>
        <v>48527.1</v>
      </c>
      <c r="C12" s="28">
        <v>4.9000000000000004</v>
      </c>
      <c r="D12" s="186">
        <f>$C12*AVERAGE(F$43,G$43)</f>
        <v>5.1147989452867506</v>
      </c>
      <c r="E12" s="26">
        <f>-PV('[3]COVID VSL 1.0 Old'!$G$56,$D12,1)</f>
        <v>4.6771120659592622</v>
      </c>
      <c r="F12" s="187">
        <f>-PV('[3]COVID VSL 1.0 Old'!$G$57,$D12,1)</f>
        <v>4.1790033419135924</v>
      </c>
      <c r="G12" s="188">
        <f>AVERAGE(H67,J67)</f>
        <v>0.80080248638958507</v>
      </c>
      <c r="H12" s="186">
        <f>D12*$G12</f>
        <v>4.0959437127684568</v>
      </c>
      <c r="I12" s="186">
        <f>E12*$G12</f>
        <v>3.7454429715429063</v>
      </c>
      <c r="J12" s="189">
        <f>F12*$G12</f>
        <v>3.3465562668347899</v>
      </c>
    </row>
    <row r="13" spans="1:10" x14ac:dyDescent="0.3">
      <c r="A13" s="191" t="s">
        <v>70</v>
      </c>
      <c r="B13" s="192">
        <v>150000</v>
      </c>
      <c r="C13" s="186">
        <f>SUM(B4*C4,$B5*C5,$B6*C6,$B7*C7,$B8*C8,$B9*C9,$B10*C10,$B11*C11,$B12*C12)/$B13</f>
        <v>13.290613700000002</v>
      </c>
      <c r="D13" s="186">
        <f>SUM($B4*D4,$B5*D5,$B6*D6,$B7*D7,$B8*D8,$B9*D9,$B10*D10,$B11*D11,$B12*D12)/$B13</f>
        <v>14.031764665471131</v>
      </c>
      <c r="E13" s="186">
        <f>SUM($B4*E4,$B5*E5,$B6*E6,$B7*E7,$B8*E8,$B9*E9,$B10*E10,$B11*E11,$B12*E12)/$B13</f>
        <v>10.412132229149028</v>
      </c>
      <c r="F13" s="193">
        <f>SUM($B4*F4,$B5*F5,$B6*F6,$B7*F7,$B8*F8,$B9*F9,$B10*F10,$B11*F11,$B12*F12)/$B13</f>
        <v>7.6815544644182721</v>
      </c>
      <c r="G13" s="188">
        <f>AVERAGE(H58,J58)</f>
        <v>0.86659568984371937</v>
      </c>
      <c r="H13" s="186">
        <f>D13*$G13</f>
        <v>12.159866779998682</v>
      </c>
      <c r="I13" s="186">
        <f>E13*$G13</f>
        <v>9.0231089118634262</v>
      </c>
      <c r="J13" s="189">
        <f>F13*$G13</f>
        <v>6.6568019901646549</v>
      </c>
    </row>
    <row r="14" spans="1:10" ht="18" customHeight="1" x14ac:dyDescent="0.3">
      <c r="A14" s="194" t="s">
        <v>20</v>
      </c>
      <c r="B14" s="60" t="str">
        <f>A17</f>
        <v>[A]</v>
      </c>
      <c r="C14" s="60" t="str">
        <f>'S8 Conover LLE and QALYs'!A18</f>
        <v>[B]</v>
      </c>
      <c r="D14" s="195" t="str">
        <f>A19</f>
        <v>[C]</v>
      </c>
      <c r="E14" s="196" t="str">
        <f>A20</f>
        <v>[D]</v>
      </c>
      <c r="F14" s="197"/>
      <c r="G14" s="60" t="str">
        <f>A21</f>
        <v>[E]</v>
      </c>
      <c r="H14" s="198" t="str">
        <f>A22</f>
        <v>[F]</v>
      </c>
      <c r="I14" s="196"/>
      <c r="J14" s="196"/>
    </row>
    <row r="15" spans="1:10" ht="18" customHeight="1" x14ac:dyDescent="0.3">
      <c r="A15" t="s">
        <v>138</v>
      </c>
    </row>
    <row r="16" spans="1:10" s="1" customFormat="1" ht="24" customHeight="1" x14ac:dyDescent="0.3">
      <c r="A16" s="74" t="s">
        <v>22</v>
      </c>
      <c r="B16" s="75"/>
      <c r="C16" s="75"/>
      <c r="D16" s="75"/>
      <c r="E16" s="75"/>
      <c r="F16" s="75"/>
      <c r="G16" s="75"/>
      <c r="H16" s="75"/>
      <c r="I16" s="75"/>
      <c r="J16" s="75"/>
    </row>
    <row r="17" spans="1:10" s="1" customFormat="1" ht="30" customHeight="1" x14ac:dyDescent="0.3">
      <c r="A17" s="76" t="s">
        <v>23</v>
      </c>
      <c r="B17" s="136" t="s">
        <v>139</v>
      </c>
      <c r="C17" s="136"/>
      <c r="D17" s="136"/>
      <c r="E17" s="136"/>
      <c r="F17" s="136"/>
      <c r="G17" s="136"/>
      <c r="H17" s="136"/>
      <c r="I17" s="136"/>
      <c r="J17" s="136"/>
    </row>
    <row r="18" spans="1:10" s="1" customFormat="1" ht="30" customHeight="1" x14ac:dyDescent="0.3">
      <c r="A18" s="76" t="s">
        <v>25</v>
      </c>
      <c r="B18" s="136" t="s">
        <v>140</v>
      </c>
      <c r="C18" s="136"/>
      <c r="D18" s="136"/>
      <c r="E18" s="136"/>
      <c r="F18" s="136"/>
      <c r="G18" s="136"/>
      <c r="H18" s="136"/>
      <c r="I18" s="136"/>
      <c r="J18" s="136"/>
    </row>
    <row r="19" spans="1:10" s="1" customFormat="1" ht="45" customHeight="1" x14ac:dyDescent="0.3">
      <c r="A19" s="76" t="s">
        <v>27</v>
      </c>
      <c r="B19" s="136" t="s">
        <v>141</v>
      </c>
      <c r="C19" s="136"/>
      <c r="D19" s="136"/>
      <c r="E19" s="136"/>
      <c r="F19" s="136"/>
      <c r="G19" s="136"/>
      <c r="H19" s="136"/>
      <c r="I19" s="136"/>
      <c r="J19" s="136"/>
    </row>
    <row r="20" spans="1:10" s="1" customFormat="1" ht="59.4" customHeight="1" x14ac:dyDescent="0.3">
      <c r="A20" s="76" t="s">
        <v>29</v>
      </c>
      <c r="B20" s="136" t="s">
        <v>142</v>
      </c>
      <c r="C20" s="136"/>
      <c r="D20" s="136"/>
      <c r="E20" s="136"/>
      <c r="F20" s="136"/>
      <c r="G20" s="136"/>
      <c r="H20" s="136"/>
      <c r="I20" s="136"/>
      <c r="J20" s="136"/>
    </row>
    <row r="21" spans="1:10" s="1" customFormat="1" ht="30" customHeight="1" x14ac:dyDescent="0.3">
      <c r="A21" s="76" t="s">
        <v>31</v>
      </c>
      <c r="B21" s="136" t="s">
        <v>143</v>
      </c>
      <c r="C21" s="136"/>
      <c r="D21" s="136"/>
      <c r="E21" s="136"/>
      <c r="F21" s="136"/>
      <c r="G21" s="136"/>
      <c r="H21" s="136"/>
      <c r="I21" s="136"/>
      <c r="J21" s="136"/>
    </row>
    <row r="22" spans="1:10" s="1" customFormat="1" ht="18" customHeight="1" x14ac:dyDescent="0.3">
      <c r="A22" s="76" t="s">
        <v>33</v>
      </c>
      <c r="B22" s="136" t="s">
        <v>144</v>
      </c>
      <c r="C22" s="136"/>
      <c r="D22" s="136"/>
      <c r="E22" s="136"/>
      <c r="F22" s="136"/>
      <c r="G22" s="136"/>
      <c r="H22" s="136"/>
      <c r="I22" s="136"/>
      <c r="J22" s="136"/>
    </row>
    <row r="23" spans="1:10" s="8" customFormat="1" ht="24" customHeight="1" x14ac:dyDescent="0.3">
      <c r="A23" s="79" t="s">
        <v>48</v>
      </c>
      <c r="B23" s="75"/>
      <c r="C23" s="75"/>
      <c r="D23" s="75"/>
      <c r="E23" s="75"/>
      <c r="F23" s="75"/>
      <c r="G23" s="75"/>
      <c r="H23" s="75"/>
      <c r="I23" s="75"/>
      <c r="J23" s="75"/>
    </row>
    <row r="24" spans="1:10" s="1" customFormat="1" ht="24" customHeight="1" x14ac:dyDescent="0.3">
      <c r="A24" s="80" t="s">
        <v>49</v>
      </c>
      <c r="B24" s="81" t="s">
        <v>145</v>
      </c>
      <c r="C24" s="82"/>
      <c r="D24" s="82"/>
      <c r="E24" s="82"/>
      <c r="F24" s="83"/>
      <c r="G24" s="83"/>
      <c r="H24" s="83"/>
      <c r="I24" s="83"/>
      <c r="J24" s="83"/>
    </row>
    <row r="25" spans="1:10" s="1" customFormat="1" ht="18" customHeight="1" x14ac:dyDescent="0.3">
      <c r="A25" s="87"/>
      <c r="B25" s="199" t="s">
        <v>59</v>
      </c>
      <c r="C25" s="83" t="s">
        <v>146</v>
      </c>
      <c r="D25" s="8"/>
      <c r="E25" s="8"/>
      <c r="F25" s="8"/>
      <c r="G25" s="8"/>
      <c r="H25" s="8"/>
    </row>
    <row r="26" spans="1:10" s="1" customFormat="1" ht="18" customHeight="1" x14ac:dyDescent="0.3">
      <c r="A26" s="87"/>
      <c r="B26" s="200" t="s">
        <v>61</v>
      </c>
      <c r="C26" s="201">
        <v>2.5000000000000001E-2</v>
      </c>
      <c r="D26" s="8"/>
      <c r="E26" s="8"/>
      <c r="F26" s="8"/>
      <c r="G26" s="8"/>
      <c r="H26" s="8"/>
    </row>
    <row r="27" spans="1:10" s="1" customFormat="1" ht="18" customHeight="1" x14ac:dyDescent="0.3">
      <c r="A27" s="87"/>
      <c r="B27" s="200" t="s">
        <v>62</v>
      </c>
      <c r="C27" s="201">
        <v>2.5000000000000001E-2</v>
      </c>
      <c r="D27" s="8"/>
      <c r="E27" s="8"/>
      <c r="F27" s="8"/>
      <c r="G27" s="8"/>
      <c r="H27" s="8"/>
    </row>
    <row r="28" spans="1:10" s="1" customFormat="1" ht="18" customHeight="1" x14ac:dyDescent="0.3">
      <c r="A28" s="87"/>
      <c r="B28" s="200" t="s">
        <v>63</v>
      </c>
      <c r="C28" s="202">
        <v>0.49925000000000003</v>
      </c>
      <c r="D28" s="8"/>
      <c r="E28" s="8"/>
      <c r="F28" s="8"/>
      <c r="G28" s="8"/>
      <c r="H28" s="8"/>
    </row>
    <row r="29" spans="1:10" s="1" customFormat="1" ht="18" customHeight="1" x14ac:dyDescent="0.3">
      <c r="A29" s="87"/>
      <c r="B29" s="200" t="s">
        <v>64</v>
      </c>
      <c r="C29" s="202">
        <v>1.2980500000000001</v>
      </c>
      <c r="D29" s="8"/>
      <c r="E29" s="8"/>
      <c r="F29" s="8"/>
      <c r="G29" s="8"/>
      <c r="H29" s="8"/>
    </row>
    <row r="30" spans="1:10" s="1" customFormat="1" ht="18" customHeight="1" x14ac:dyDescent="0.3">
      <c r="A30" s="87"/>
      <c r="B30" s="200" t="s">
        <v>65</v>
      </c>
      <c r="C30" s="202">
        <v>3.0953500000000003</v>
      </c>
      <c r="D30" s="8"/>
      <c r="E30" s="8"/>
      <c r="F30" s="8"/>
      <c r="G30" s="8"/>
      <c r="H30" s="8"/>
    </row>
    <row r="31" spans="1:10" s="1" customFormat="1" ht="18" customHeight="1" x14ac:dyDescent="0.3">
      <c r="A31" s="87"/>
      <c r="B31" s="200" t="s">
        <v>66</v>
      </c>
      <c r="C31" s="202">
        <v>15.476750000000001</v>
      </c>
      <c r="D31" s="8"/>
      <c r="E31" s="8"/>
      <c r="F31" s="8"/>
      <c r="G31" s="8"/>
      <c r="H31" s="8"/>
    </row>
    <row r="32" spans="1:10" s="1" customFormat="1" ht="18" customHeight="1" x14ac:dyDescent="0.3">
      <c r="A32" s="87"/>
      <c r="B32" s="200" t="s">
        <v>67</v>
      </c>
      <c r="C32" s="202">
        <v>20.868649999999999</v>
      </c>
      <c r="D32" s="8"/>
      <c r="E32" s="8"/>
      <c r="F32" s="8"/>
      <c r="G32" s="8"/>
      <c r="H32" s="8"/>
    </row>
    <row r="33" spans="1:10" s="1" customFormat="1" ht="18" customHeight="1" x14ac:dyDescent="0.3">
      <c r="A33" s="87"/>
      <c r="B33" s="200" t="s">
        <v>68</v>
      </c>
      <c r="C33" s="202">
        <v>26.360399999999998</v>
      </c>
      <c r="D33" s="8"/>
      <c r="E33" s="8"/>
      <c r="F33" s="8"/>
      <c r="G33" s="8"/>
      <c r="H33" s="8"/>
    </row>
    <row r="34" spans="1:10" s="1" customFormat="1" ht="18" customHeight="1" x14ac:dyDescent="0.3">
      <c r="A34" s="87"/>
      <c r="B34" s="200" t="s">
        <v>69</v>
      </c>
      <c r="C34" s="202">
        <v>32.351399999999998</v>
      </c>
      <c r="D34" s="8"/>
      <c r="E34" s="8"/>
      <c r="F34" s="8"/>
      <c r="G34" s="8"/>
      <c r="H34" s="8"/>
    </row>
    <row r="35" spans="1:10" s="1" customFormat="1" ht="18" customHeight="1" x14ac:dyDescent="0.3">
      <c r="A35" s="87"/>
      <c r="B35" s="200" t="s">
        <v>70</v>
      </c>
      <c r="C35" s="202">
        <v>99.999849999999995</v>
      </c>
      <c r="D35"/>
      <c r="E35" s="8"/>
      <c r="F35" s="8"/>
      <c r="G35" s="8"/>
      <c r="H35" s="8"/>
    </row>
    <row r="36" spans="1:10" s="1" customFormat="1" ht="18" customHeight="1" x14ac:dyDescent="0.3">
      <c r="A36" s="87"/>
      <c r="B36" s="203" t="s">
        <v>20</v>
      </c>
      <c r="C36" s="204" t="s">
        <v>52</v>
      </c>
      <c r="D36"/>
      <c r="E36" s="8"/>
      <c r="F36" s="8"/>
      <c r="G36" s="8"/>
      <c r="H36" s="8"/>
    </row>
    <row r="37" spans="1:10" s="1" customFormat="1" ht="59.4" customHeight="1" x14ac:dyDescent="0.3">
      <c r="A37" s="87"/>
      <c r="B37" s="76" t="str">
        <f>C36</f>
        <v>[P1a]</v>
      </c>
      <c r="C37" s="138" t="s">
        <v>147</v>
      </c>
      <c r="D37" s="138"/>
      <c r="E37" s="138"/>
      <c r="F37" s="138"/>
      <c r="G37" s="138"/>
      <c r="H37" s="138"/>
      <c r="I37" s="138"/>
      <c r="J37" s="138"/>
    </row>
    <row r="38" spans="1:10" s="1" customFormat="1" ht="24" customHeight="1" x14ac:dyDescent="0.3">
      <c r="A38" s="80" t="s">
        <v>57</v>
      </c>
      <c r="B38" s="81" t="s">
        <v>148</v>
      </c>
      <c r="C38" s="82"/>
      <c r="D38" s="82"/>
      <c r="E38" s="82"/>
      <c r="F38" s="83"/>
      <c r="G38" s="83"/>
      <c r="H38" s="83"/>
      <c r="I38" s="83"/>
      <c r="J38" s="83"/>
    </row>
    <row r="39" spans="1:10" s="1" customFormat="1" ht="18" customHeight="1" x14ac:dyDescent="0.3">
      <c r="A39" s="87"/>
      <c r="B39" s="205"/>
      <c r="C39" s="206"/>
      <c r="D39" s="207" t="s">
        <v>149</v>
      </c>
      <c r="E39" s="155"/>
      <c r="F39" s="139" t="s">
        <v>150</v>
      </c>
      <c r="G39" s="155"/>
      <c r="H39" s="208" t="s">
        <v>20</v>
      </c>
    </row>
    <row r="40" spans="1:10" s="1" customFormat="1" ht="18" customHeight="1" x14ac:dyDescent="0.3">
      <c r="A40" s="87"/>
      <c r="B40" s="92"/>
      <c r="C40" s="209"/>
      <c r="D40" s="210" t="s">
        <v>151</v>
      </c>
      <c r="E40" s="211" t="s">
        <v>152</v>
      </c>
      <c r="F40" s="212" t="s">
        <v>151</v>
      </c>
      <c r="G40" s="211" t="s">
        <v>152</v>
      </c>
      <c r="H40" s="213"/>
    </row>
    <row r="41" spans="1:10" s="1" customFormat="1" ht="18" customHeight="1" x14ac:dyDescent="0.3">
      <c r="A41" s="87"/>
      <c r="B41" s="8" t="s">
        <v>153</v>
      </c>
      <c r="C41" s="154"/>
      <c r="D41" s="28">
        <v>77.099999999999994</v>
      </c>
      <c r="E41" s="191">
        <v>81.3</v>
      </c>
      <c r="F41" s="191">
        <v>18.5</v>
      </c>
      <c r="G41" s="191">
        <v>20.5</v>
      </c>
      <c r="H41" s="87" t="s">
        <v>54</v>
      </c>
    </row>
    <row r="42" spans="1:10" s="1" customFormat="1" ht="18" customHeight="1" x14ac:dyDescent="0.3">
      <c r="A42" s="87"/>
      <c r="B42" s="8" t="s">
        <v>154</v>
      </c>
      <c r="C42" s="154"/>
      <c r="D42" s="186">
        <v>83</v>
      </c>
      <c r="E42" s="191">
        <v>86.5</v>
      </c>
      <c r="F42" s="191">
        <v>19.399999999999999</v>
      </c>
      <c r="G42" s="191">
        <v>21.3</v>
      </c>
      <c r="H42" s="87" t="s">
        <v>155</v>
      </c>
    </row>
    <row r="43" spans="1:10" s="1" customFormat="1" ht="18" customHeight="1" x14ac:dyDescent="0.3">
      <c r="A43" s="87"/>
      <c r="B43" s="8" t="s">
        <v>156</v>
      </c>
      <c r="C43" s="154"/>
      <c r="D43" s="188">
        <f>D42/D41</f>
        <v>1.0765239948119327</v>
      </c>
      <c r="E43" s="214">
        <f>E42/E41</f>
        <v>1.0639606396063961</v>
      </c>
      <c r="F43" s="214">
        <f>F42/F41</f>
        <v>1.0486486486486486</v>
      </c>
      <c r="G43" s="214">
        <f>G42/G41</f>
        <v>1.0390243902439025</v>
      </c>
      <c r="H43" s="87"/>
    </row>
    <row r="44" spans="1:10" s="1" customFormat="1" ht="18" customHeight="1" x14ac:dyDescent="0.3">
      <c r="A44" s="76"/>
      <c r="B44" s="215" t="s">
        <v>157</v>
      </c>
      <c r="C44" s="216"/>
      <c r="D44" s="217">
        <f>AVERAGE(D43,E43)</f>
        <v>1.0702423172091644</v>
      </c>
      <c r="E44" s="218"/>
      <c r="F44" s="219">
        <f>AVERAGE(F43,G43)</f>
        <v>1.0438365194462755</v>
      </c>
      <c r="G44" s="218"/>
      <c r="H44" s="220"/>
      <c r="I44" s="8"/>
    </row>
    <row r="45" spans="1:10" s="1" customFormat="1" ht="60" customHeight="1" x14ac:dyDescent="0.3">
      <c r="A45" s="87"/>
      <c r="B45" s="76" t="str">
        <f>H41</f>
        <v>[P2a]</v>
      </c>
      <c r="C45" s="138" t="s">
        <v>158</v>
      </c>
      <c r="D45" s="138"/>
      <c r="E45" s="138"/>
      <c r="F45" s="138"/>
      <c r="G45" s="138"/>
      <c r="H45" s="138"/>
      <c r="I45" s="138"/>
      <c r="J45" s="138"/>
    </row>
    <row r="46" spans="1:10" s="1" customFormat="1" ht="60" customHeight="1" x14ac:dyDescent="0.3">
      <c r="A46" s="87"/>
      <c r="B46" s="76" t="str">
        <f>H42</f>
        <v>[P2b]</v>
      </c>
      <c r="C46" s="138" t="s">
        <v>159</v>
      </c>
      <c r="D46" s="138"/>
      <c r="E46" s="138"/>
      <c r="F46" s="138"/>
      <c r="G46" s="138"/>
      <c r="H46" s="138"/>
      <c r="I46" s="138"/>
      <c r="J46" s="138"/>
    </row>
    <row r="47" spans="1:10" s="1" customFormat="1" ht="24" customHeight="1" x14ac:dyDescent="0.3">
      <c r="A47" s="80" t="s">
        <v>72</v>
      </c>
      <c r="B47" s="81" t="s">
        <v>160</v>
      </c>
      <c r="C47" s="82"/>
      <c r="D47" s="82"/>
      <c r="E47" s="82"/>
      <c r="F47" s="83"/>
      <c r="G47" s="83"/>
      <c r="H47" s="83"/>
      <c r="I47" s="83"/>
      <c r="J47" s="83"/>
    </row>
    <row r="48" spans="1:10" s="1" customFormat="1" ht="24" customHeight="1" x14ac:dyDescent="0.3">
      <c r="A48" s="80"/>
      <c r="B48" s="221" t="s">
        <v>59</v>
      </c>
      <c r="C48" s="207" t="s">
        <v>161</v>
      </c>
      <c r="D48" s="139"/>
      <c r="E48" s="139"/>
      <c r="F48" s="139"/>
      <c r="G48" s="139"/>
      <c r="H48" s="155"/>
      <c r="I48" s="207" t="s">
        <v>162</v>
      </c>
      <c r="J48" s="139"/>
    </row>
    <row r="49" spans="1:10" s="1" customFormat="1" ht="24" customHeight="1" x14ac:dyDescent="0.3">
      <c r="A49" s="80"/>
      <c r="B49" s="222"/>
      <c r="C49" s="207" t="s">
        <v>163</v>
      </c>
      <c r="D49" s="155"/>
      <c r="E49" s="207" t="s">
        <v>164</v>
      </c>
      <c r="F49" s="155"/>
      <c r="G49" s="207" t="s">
        <v>165</v>
      </c>
      <c r="H49" s="155"/>
      <c r="I49" s="207" t="s">
        <v>166</v>
      </c>
      <c r="J49" s="139"/>
    </row>
    <row r="50" spans="1:10" ht="15" customHeight="1" x14ac:dyDescent="0.3">
      <c r="B50" s="223"/>
      <c r="C50" s="224" t="s">
        <v>167</v>
      </c>
      <c r="D50" s="225" t="s">
        <v>168</v>
      </c>
      <c r="E50" s="224" t="s">
        <v>167</v>
      </c>
      <c r="F50" s="225" t="s">
        <v>168</v>
      </c>
      <c r="G50" s="224" t="s">
        <v>167</v>
      </c>
      <c r="H50" s="225" t="s">
        <v>168</v>
      </c>
      <c r="I50" s="226" t="s">
        <v>167</v>
      </c>
      <c r="J50" s="227" t="s">
        <v>168</v>
      </c>
    </row>
    <row r="51" spans="1:10" x14ac:dyDescent="0.3">
      <c r="B51" s="228" t="s">
        <v>169</v>
      </c>
      <c r="C51" s="229">
        <v>1663</v>
      </c>
      <c r="D51" s="230">
        <v>0.92800000000000005</v>
      </c>
      <c r="E51" s="229">
        <v>1881</v>
      </c>
      <c r="F51" s="230">
        <v>0.91300000000000003</v>
      </c>
      <c r="G51" s="231">
        <f>C51+E51</f>
        <v>3544</v>
      </c>
      <c r="H51" s="232">
        <f>(C51*D51+E51*F51)/G51</f>
        <v>0.92003865688487585</v>
      </c>
      <c r="I51" s="229">
        <v>7990</v>
      </c>
      <c r="J51" s="233">
        <v>0.92200000000000004</v>
      </c>
    </row>
    <row r="52" spans="1:10" x14ac:dyDescent="0.3">
      <c r="B52" s="228" t="s">
        <v>132</v>
      </c>
      <c r="C52" s="229">
        <v>1912</v>
      </c>
      <c r="D52" s="230">
        <v>0.91800000000000004</v>
      </c>
      <c r="E52" s="229">
        <v>2177</v>
      </c>
      <c r="F52" s="230">
        <v>0.89300000000000002</v>
      </c>
      <c r="G52" s="231">
        <f>C52+E52</f>
        <v>4089</v>
      </c>
      <c r="H52" s="232">
        <f>(C52*D52+E52*F52)/G52</f>
        <v>0.90468989973098557</v>
      </c>
      <c r="I52" s="229">
        <v>7867</v>
      </c>
      <c r="J52" s="233">
        <v>0.90100000000000002</v>
      </c>
    </row>
    <row r="53" spans="1:10" x14ac:dyDescent="0.3">
      <c r="B53" s="228" t="s">
        <v>133</v>
      </c>
      <c r="C53" s="229">
        <v>2002</v>
      </c>
      <c r="D53" s="230">
        <v>0.88700000000000001</v>
      </c>
      <c r="E53" s="229">
        <v>2272</v>
      </c>
      <c r="F53" s="230">
        <v>0.86299999999999999</v>
      </c>
      <c r="G53" s="231">
        <f>C53+E53</f>
        <v>4274</v>
      </c>
      <c r="H53" s="232">
        <f>(C53*D53+E53*F53)/G53</f>
        <v>0.87424192793635946</v>
      </c>
      <c r="I53" s="229">
        <v>8052</v>
      </c>
      <c r="J53" s="233">
        <v>0.871</v>
      </c>
    </row>
    <row r="54" spans="1:10" x14ac:dyDescent="0.3">
      <c r="B54" s="228" t="s">
        <v>170</v>
      </c>
      <c r="C54" s="229">
        <v>1545</v>
      </c>
      <c r="D54" s="230">
        <v>0.86099999999999999</v>
      </c>
      <c r="E54" s="229">
        <v>1712</v>
      </c>
      <c r="F54" s="230">
        <v>0.83699999999999997</v>
      </c>
      <c r="G54" s="231">
        <f>C54+E54</f>
        <v>3257</v>
      </c>
      <c r="H54" s="232">
        <f>(C54*D54+E54*F54)/G54</f>
        <v>0.84838470985569536</v>
      </c>
      <c r="I54" s="229">
        <v>6242</v>
      </c>
      <c r="J54" s="233">
        <v>0.84199999999999997</v>
      </c>
    </row>
    <row r="55" spans="1:10" x14ac:dyDescent="0.3">
      <c r="B55" s="228" t="s">
        <v>171</v>
      </c>
      <c r="C55" s="229">
        <v>962</v>
      </c>
      <c r="D55" s="230">
        <v>0.84</v>
      </c>
      <c r="E55" s="229">
        <v>1145</v>
      </c>
      <c r="F55" s="230">
        <v>0.81100000000000005</v>
      </c>
      <c r="G55" s="231">
        <f>C55+E55</f>
        <v>2107</v>
      </c>
      <c r="H55" s="232">
        <f>(C55*D55+E55*F55)/G55</f>
        <v>0.82424062648315133</v>
      </c>
      <c r="I55" s="229">
        <v>3980</v>
      </c>
      <c r="J55" s="233">
        <v>0.82299999999999995</v>
      </c>
    </row>
    <row r="56" spans="1:10" x14ac:dyDescent="0.3">
      <c r="B56" s="228" t="s">
        <v>172</v>
      </c>
      <c r="C56" s="229">
        <v>704</v>
      </c>
      <c r="D56" s="230">
        <v>0.80200000000000005</v>
      </c>
      <c r="E56" s="229">
        <v>887</v>
      </c>
      <c r="F56" s="230">
        <v>0.77100000000000002</v>
      </c>
      <c r="G56" s="231">
        <f>C56+E56</f>
        <v>1591</v>
      </c>
      <c r="H56" s="232">
        <f>(C56*D56+E56*F56)/G56</f>
        <v>0.78471715901948469</v>
      </c>
      <c r="I56" s="229">
        <v>2981</v>
      </c>
      <c r="J56" s="233">
        <v>0.79</v>
      </c>
    </row>
    <row r="57" spans="1:10" x14ac:dyDescent="0.3">
      <c r="B57" s="228" t="s">
        <v>173</v>
      </c>
      <c r="C57" s="229">
        <v>263</v>
      </c>
      <c r="D57" s="230">
        <v>0.78200000000000003</v>
      </c>
      <c r="E57" s="229">
        <v>499</v>
      </c>
      <c r="F57" s="230">
        <v>0.72399999999999998</v>
      </c>
      <c r="G57" s="231">
        <f>C57+E57</f>
        <v>762</v>
      </c>
      <c r="H57" s="232">
        <f>(C57*D57+E57*F57)/G57</f>
        <v>0.74401837270341209</v>
      </c>
      <c r="I57" s="229">
        <v>1566</v>
      </c>
      <c r="J57" s="233">
        <v>0.73599999999999999</v>
      </c>
    </row>
    <row r="58" spans="1:10" x14ac:dyDescent="0.3">
      <c r="B58" s="234" t="s">
        <v>70</v>
      </c>
      <c r="C58" s="235">
        <f>SUM(C51:C57)</f>
        <v>9051</v>
      </c>
      <c r="D58" s="236">
        <f>SUM(C51*D51,C52*D52,C53*D53,C54*D54,C55*D55,C56*D56,C57*D57)/C58</f>
        <v>0.88198574743122315</v>
      </c>
      <c r="E58" s="235">
        <f>SUM(E51:E57)</f>
        <v>10573</v>
      </c>
      <c r="F58" s="236">
        <f>SUM(E51*F51,E52*F52,E53*F53,E54*F54,E55*F55,E56*F56,E57*F57)/E58</f>
        <v>0.85395270973233695</v>
      </c>
      <c r="G58" s="235">
        <f>SUM(G51:G57)</f>
        <v>19624</v>
      </c>
      <c r="H58" s="237">
        <f>(C58*D58+E58*F58)/G58</f>
        <v>0.86688213412148385</v>
      </c>
      <c r="I58" s="238">
        <f>SUM(I51:I57)</f>
        <v>38678</v>
      </c>
      <c r="J58" s="239">
        <f>SUM(I51*J51,I52*J52,I53*J53,I54*J54,I55*J55,I56*J56,I57*J57)/I58</f>
        <v>0.8663092455659549</v>
      </c>
    </row>
    <row r="59" spans="1:10" x14ac:dyDescent="0.3">
      <c r="B59" s="203" t="s">
        <v>20</v>
      </c>
      <c r="C59" s="240" t="s">
        <v>75</v>
      </c>
      <c r="D59" s="241" t="s">
        <v>77</v>
      </c>
      <c r="E59" s="240" t="s">
        <v>75</v>
      </c>
      <c r="F59" s="241" t="s">
        <v>77</v>
      </c>
      <c r="G59" s="240" t="s">
        <v>174</v>
      </c>
      <c r="H59" s="241" t="s">
        <v>175</v>
      </c>
      <c r="I59" s="242" t="s">
        <v>79</v>
      </c>
      <c r="J59" s="243"/>
    </row>
    <row r="60" spans="1:10" x14ac:dyDescent="0.3">
      <c r="B60" s="140" t="s">
        <v>176</v>
      </c>
      <c r="C60" s="140"/>
      <c r="D60" s="140"/>
      <c r="E60" s="140"/>
      <c r="F60" s="140"/>
      <c r="G60" s="140"/>
      <c r="H60" s="140"/>
      <c r="I60" s="140"/>
      <c r="J60" s="140"/>
    </row>
    <row r="61" spans="1:10" x14ac:dyDescent="0.3">
      <c r="B61" s="244" t="s">
        <v>129</v>
      </c>
      <c r="C61" s="245"/>
      <c r="D61" s="246"/>
      <c r="E61" s="245"/>
      <c r="F61" s="246"/>
      <c r="G61" s="247"/>
      <c r="H61" s="248">
        <f>H$51*(1+(H$51/H$52)^(0.1)-1)^23</f>
        <v>0.95633630385802881</v>
      </c>
      <c r="I61" s="249"/>
      <c r="J61" s="250">
        <f>J$51*(1+(J$51/J$52)^(0.1)-1)^23</f>
        <v>0.97217627921820338</v>
      </c>
    </row>
    <row r="62" spans="1:10" x14ac:dyDescent="0.3">
      <c r="B62" s="190" t="s">
        <v>130</v>
      </c>
      <c r="C62" s="245"/>
      <c r="D62" s="246"/>
      <c r="E62" s="245"/>
      <c r="F62" s="246"/>
      <c r="G62" s="251"/>
      <c r="H62" s="252">
        <f>H$51*(1+(H$51/H$52)^(0.1)-1)^14</f>
        <v>0.94196538176456246</v>
      </c>
      <c r="I62" s="253"/>
      <c r="J62" s="250">
        <f>J$51*(1+(J$51/J$52)^(0.1)-1)^14</f>
        <v>0.95222483286542636</v>
      </c>
    </row>
    <row r="63" spans="1:10" x14ac:dyDescent="0.3">
      <c r="B63" s="190" t="s">
        <v>177</v>
      </c>
      <c r="C63" s="245"/>
      <c r="D63" s="246"/>
      <c r="E63" s="245"/>
      <c r="F63" s="246"/>
      <c r="G63" s="251"/>
      <c r="H63" s="252">
        <f>H$51*(1+(H$51/H$52)^(0.1)-1)^5.5</f>
        <v>0.92859118952900976</v>
      </c>
      <c r="I63" s="253"/>
      <c r="J63" s="250">
        <f>J$51*(1+(J$51/J$52)^(0.1)-1)^5.5</f>
        <v>0.93375790738434028</v>
      </c>
    </row>
    <row r="64" spans="1:10" x14ac:dyDescent="0.3">
      <c r="B64" s="190" t="s">
        <v>134</v>
      </c>
      <c r="C64" s="245"/>
      <c r="D64" s="246"/>
      <c r="E64" s="245"/>
      <c r="F64" s="246"/>
      <c r="G64" s="251"/>
      <c r="H64" s="252">
        <f>H$54*(1+(H$55/H$54)^(0.1)-1)^7.5</f>
        <v>0.83021145411048136</v>
      </c>
      <c r="I64" s="253"/>
      <c r="J64" s="252">
        <f>J$54*(1+(J$55/J$54)^(0.1)-1)^7.5</f>
        <v>0.82770942273696568</v>
      </c>
    </row>
    <row r="65" spans="1:11" x14ac:dyDescent="0.3">
      <c r="B65" s="190" t="s">
        <v>135</v>
      </c>
      <c r="C65" s="245"/>
      <c r="D65" s="246"/>
      <c r="E65" s="245"/>
      <c r="F65" s="246"/>
      <c r="G65" s="251"/>
      <c r="H65" s="252">
        <f>H$55*(1+(H$56/H$55)^(0.1)-1)^5</f>
        <v>0.80423613619527134</v>
      </c>
      <c r="I65" s="253"/>
      <c r="J65" s="250">
        <f>J$55*(1+(J$56/J$55)^(0.1)-1)^5</f>
        <v>0.80633119746168824</v>
      </c>
    </row>
    <row r="66" spans="1:11" x14ac:dyDescent="0.3">
      <c r="B66" s="190" t="s">
        <v>136</v>
      </c>
      <c r="C66" s="245"/>
      <c r="D66" s="246"/>
      <c r="E66" s="245"/>
      <c r="F66" s="246"/>
      <c r="G66" s="251"/>
      <c r="H66" s="252">
        <f>H$56*(1+(H$57/H$56)^(0.1)-1)^5</f>
        <v>0.76409684182446524</v>
      </c>
      <c r="I66" s="253"/>
      <c r="J66" s="250">
        <f>J$56*(1+(J$57/J$56)^(0.1)-1)^5</f>
        <v>0.76252213082637843</v>
      </c>
    </row>
    <row r="67" spans="1:11" x14ac:dyDescent="0.3">
      <c r="B67" s="191" t="s">
        <v>137</v>
      </c>
      <c r="C67" s="245"/>
      <c r="D67" s="246"/>
      <c r="E67" s="245"/>
      <c r="F67" s="246"/>
      <c r="G67" s="251"/>
      <c r="H67" s="252">
        <f>H$57*(1+(H$58/H$57)^(0.1)-1)^5</f>
        <v>0.80310412447871737</v>
      </c>
      <c r="I67" s="253"/>
      <c r="J67" s="250">
        <f>J$57*(1+(J$58/J$57)^(0.1)-1)^5</f>
        <v>0.79850084830045276</v>
      </c>
    </row>
    <row r="68" spans="1:11" ht="18" customHeight="1" x14ac:dyDescent="0.3">
      <c r="B68" s="203" t="s">
        <v>20</v>
      </c>
      <c r="C68" s="204"/>
      <c r="D68" s="204"/>
      <c r="E68" s="204"/>
      <c r="F68" s="204"/>
      <c r="G68" s="241"/>
      <c r="H68" s="240" t="s">
        <v>178</v>
      </c>
      <c r="I68" s="240"/>
      <c r="J68" s="254" t="str">
        <f>H68</f>
        <v>[P3d]</v>
      </c>
    </row>
    <row r="69" spans="1:11" ht="60" customHeight="1" x14ac:dyDescent="0.3">
      <c r="B69" s="255" t="str">
        <f>C59</f>
        <v>[P3a]</v>
      </c>
      <c r="C69" s="256" t="s">
        <v>179</v>
      </c>
      <c r="D69" s="256"/>
      <c r="E69" s="256"/>
      <c r="F69" s="256"/>
      <c r="G69" s="256"/>
      <c r="H69" s="256"/>
      <c r="I69" s="256"/>
      <c r="J69" s="256"/>
    </row>
    <row r="70" spans="1:11" ht="120" customHeight="1" x14ac:dyDescent="0.3">
      <c r="B70" s="255" t="str">
        <f>D59</f>
        <v>[P3b]</v>
      </c>
      <c r="C70" s="256" t="s">
        <v>180</v>
      </c>
      <c r="D70" s="256"/>
      <c r="E70" s="256"/>
      <c r="F70" s="256"/>
      <c r="G70" s="256"/>
      <c r="H70" s="256"/>
      <c r="I70" s="256"/>
      <c r="J70" s="256"/>
    </row>
    <row r="71" spans="1:11" ht="18" customHeight="1" x14ac:dyDescent="0.3">
      <c r="B71" s="255" t="str">
        <f>I59</f>
        <v>[P3c]</v>
      </c>
      <c r="C71" s="256" t="s">
        <v>181</v>
      </c>
      <c r="D71" s="256"/>
      <c r="E71" s="256"/>
      <c r="F71" s="256"/>
      <c r="G71" s="256"/>
      <c r="H71" s="256"/>
      <c r="I71" s="256"/>
      <c r="J71" s="256"/>
    </row>
    <row r="72" spans="1:11" ht="45" customHeight="1" x14ac:dyDescent="0.3">
      <c r="B72" s="255" t="str">
        <f>H68</f>
        <v>[P3d]</v>
      </c>
      <c r="C72" s="256" t="s">
        <v>182</v>
      </c>
      <c r="D72" s="256"/>
      <c r="E72" s="256"/>
      <c r="F72" s="256"/>
      <c r="G72" s="256"/>
      <c r="H72" s="256"/>
      <c r="I72" s="256"/>
      <c r="J72" s="256"/>
    </row>
    <row r="73" spans="1:11" s="8" customFormat="1" ht="24" customHeight="1" x14ac:dyDescent="0.3">
      <c r="A73" s="79" t="s">
        <v>92</v>
      </c>
      <c r="B73" s="75"/>
      <c r="C73" s="75"/>
      <c r="D73" s="75"/>
      <c r="E73" s="75"/>
      <c r="F73" s="75"/>
      <c r="G73" s="75"/>
      <c r="H73" s="75"/>
      <c r="I73" s="75"/>
      <c r="J73" s="75"/>
    </row>
    <row r="74" spans="1:11" s="1" customFormat="1" ht="30" customHeight="1" x14ac:dyDescent="0.3">
      <c r="A74" s="76" t="s">
        <v>93</v>
      </c>
      <c r="B74" s="136" t="s">
        <v>183</v>
      </c>
      <c r="C74" s="136"/>
      <c r="D74" s="136"/>
      <c r="E74" s="136"/>
      <c r="F74" s="136"/>
      <c r="G74" s="136"/>
      <c r="H74" s="136"/>
      <c r="I74" s="136"/>
      <c r="J74" s="136"/>
    </row>
    <row r="75" spans="1:11" s="1" customFormat="1" ht="30" customHeight="1" x14ac:dyDescent="0.3">
      <c r="A75" s="76" t="s">
        <v>95</v>
      </c>
      <c r="B75" s="136" t="s">
        <v>184</v>
      </c>
      <c r="C75" s="136"/>
      <c r="D75" s="136"/>
      <c r="E75" s="136"/>
      <c r="F75" s="136"/>
      <c r="G75" s="136"/>
      <c r="H75" s="136"/>
      <c r="I75" s="136"/>
      <c r="J75" s="136"/>
    </row>
    <row r="76" spans="1:11" s="1" customFormat="1" ht="30" customHeight="1" x14ac:dyDescent="0.3">
      <c r="A76" s="76" t="s">
        <v>97</v>
      </c>
      <c r="B76" s="136" t="s">
        <v>104</v>
      </c>
      <c r="C76" s="136"/>
      <c r="D76" s="136"/>
      <c r="E76" s="136"/>
      <c r="F76" s="136"/>
      <c r="G76" s="136"/>
      <c r="H76" s="136"/>
      <c r="I76" s="136"/>
      <c r="J76" s="136"/>
    </row>
    <row r="77" spans="1:11" s="1" customFormat="1" ht="45" customHeight="1" x14ac:dyDescent="0.3">
      <c r="A77" s="76" t="s">
        <v>99</v>
      </c>
      <c r="B77" s="136" t="s">
        <v>185</v>
      </c>
      <c r="C77" s="136"/>
      <c r="D77" s="136"/>
      <c r="E77" s="136"/>
      <c r="F77" s="136"/>
      <c r="G77" s="136"/>
      <c r="H77" s="136"/>
      <c r="I77" s="136"/>
      <c r="J77" s="136"/>
    </row>
    <row r="78" spans="1:11" s="1" customFormat="1" ht="45" customHeight="1" x14ac:dyDescent="0.3">
      <c r="A78" s="76" t="s">
        <v>101</v>
      </c>
      <c r="B78" s="136" t="s">
        <v>186</v>
      </c>
      <c r="C78" s="136"/>
      <c r="D78" s="136"/>
      <c r="E78" s="136"/>
      <c r="F78" s="136"/>
      <c r="G78" s="136"/>
      <c r="H78" s="136"/>
      <c r="I78" s="136"/>
      <c r="J78" s="136"/>
      <c r="K78" s="257"/>
    </row>
    <row r="79" spans="1:11" s="1" customFormat="1" ht="30" customHeight="1" x14ac:dyDescent="0.3">
      <c r="A79" s="76" t="s">
        <v>103</v>
      </c>
      <c r="B79" s="136" t="s">
        <v>187</v>
      </c>
      <c r="C79" s="136"/>
      <c r="D79" s="136"/>
      <c r="E79" s="136"/>
      <c r="F79" s="136"/>
      <c r="G79" s="136"/>
      <c r="H79" s="136"/>
      <c r="I79" s="136"/>
      <c r="J79" s="136"/>
    </row>
    <row r="80" spans="1:11" s="1" customFormat="1" ht="30" customHeight="1" x14ac:dyDescent="0.3">
      <c r="A80" s="76" t="s">
        <v>105</v>
      </c>
      <c r="B80" s="136" t="s">
        <v>188</v>
      </c>
      <c r="C80" s="136"/>
      <c r="D80" s="136"/>
      <c r="E80" s="136"/>
      <c r="F80" s="136"/>
      <c r="G80" s="136"/>
      <c r="H80" s="136"/>
      <c r="I80" s="136"/>
      <c r="J80" s="136"/>
    </row>
    <row r="81" spans="1:10" s="1" customFormat="1" ht="30" customHeight="1" x14ac:dyDescent="0.3">
      <c r="A81" s="76" t="s">
        <v>107</v>
      </c>
      <c r="B81" s="136" t="s">
        <v>189</v>
      </c>
      <c r="C81" s="136"/>
      <c r="D81" s="136"/>
      <c r="E81" s="136"/>
      <c r="F81" s="136"/>
      <c r="G81" s="136"/>
      <c r="H81" s="136"/>
      <c r="I81" s="136"/>
      <c r="J81" s="136"/>
    </row>
  </sheetData>
  <mergeCells count="44">
    <mergeCell ref="B78:J78"/>
    <mergeCell ref="B79:J79"/>
    <mergeCell ref="B80:J80"/>
    <mergeCell ref="B81:J81"/>
    <mergeCell ref="C71:J71"/>
    <mergeCell ref="C72:J72"/>
    <mergeCell ref="B74:J74"/>
    <mergeCell ref="B75:J75"/>
    <mergeCell ref="B76:J76"/>
    <mergeCell ref="B77:J77"/>
    <mergeCell ref="G49:H49"/>
    <mergeCell ref="I49:J49"/>
    <mergeCell ref="I59:J59"/>
    <mergeCell ref="B60:J60"/>
    <mergeCell ref="C69:J69"/>
    <mergeCell ref="C70:J70"/>
    <mergeCell ref="B44:C44"/>
    <mergeCell ref="D44:E44"/>
    <mergeCell ref="F44:G44"/>
    <mergeCell ref="C45:J45"/>
    <mergeCell ref="C46:J46"/>
    <mergeCell ref="B48:B50"/>
    <mergeCell ref="C48:H48"/>
    <mergeCell ref="I48:J48"/>
    <mergeCell ref="C49:D49"/>
    <mergeCell ref="E49:F49"/>
    <mergeCell ref="B21:J21"/>
    <mergeCell ref="B22:J22"/>
    <mergeCell ref="C37:J37"/>
    <mergeCell ref="D39:E39"/>
    <mergeCell ref="F39:G39"/>
    <mergeCell ref="H39:H40"/>
    <mergeCell ref="E14:F14"/>
    <mergeCell ref="H14:J14"/>
    <mergeCell ref="B17:J17"/>
    <mergeCell ref="B18:J18"/>
    <mergeCell ref="B19:J19"/>
    <mergeCell ref="B20:J20"/>
    <mergeCell ref="A1:J1"/>
    <mergeCell ref="A2:A3"/>
    <mergeCell ref="B2:B3"/>
    <mergeCell ref="C2:D2"/>
    <mergeCell ref="G2:G3"/>
    <mergeCell ref="H2:J2"/>
  </mergeCells>
  <conditionalFormatting sqref="C4:G13">
    <cfRule type="expression" dxfId="145" priority="9">
      <formula>#REF!="Yes"</formula>
    </cfRule>
    <cfRule type="expression" dxfId="144" priority="10">
      <formula>$A4=1</formula>
    </cfRule>
  </conditionalFormatting>
  <conditionalFormatting sqref="A4:A13 D58 D61:D67 F58 F61:F67 B61:B67 J58 B69:B72">
    <cfRule type="expression" dxfId="143" priority="7">
      <formula>#REF!="Yes"</formula>
    </cfRule>
    <cfRule type="expression" dxfId="142" priority="8">
      <formula>$A4=1</formula>
    </cfRule>
  </conditionalFormatting>
  <conditionalFormatting sqref="B4:B13">
    <cfRule type="expression" dxfId="141" priority="5">
      <formula>#REF!="Yes"</formula>
    </cfRule>
    <cfRule type="expression" dxfId="140" priority="6">
      <formula>$A4=1</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1" id="{B14934C3-DC08-4F73-B4E7-627294F5C085}">
            <x14:iconSet showValue="0" custom="1">
              <x14:cfvo type="percent">
                <xm:f>0</xm:f>
              </x14:cfvo>
              <x14:cfvo type="num">
                <xm:f>-1</xm:f>
              </x14:cfvo>
              <x14:cfvo type="num">
                <xm:f>1</xm:f>
              </x14:cfvo>
              <x14:cfIcon iconSet="NoIcons" iconId="0"/>
              <x14:cfIcon iconSet="NoIcons" iconId="0"/>
              <x14:cfIcon iconSet="3Flags" iconId="0"/>
            </x14:iconSet>
          </x14:cfRule>
          <xm:sqref>A4:A14</xm:sqref>
        </x14:conditionalFormatting>
        <x14:conditionalFormatting xmlns:xm="http://schemas.microsoft.com/office/excel/2006/main">
          <x14:cfRule type="iconSet" priority="4" id="{BC9C7F31-4E1A-4E5A-A4F8-649C1339B299}">
            <x14:iconSet showValue="0" custom="1">
              <x14:cfvo type="percent">
                <xm:f>0</xm:f>
              </x14:cfvo>
              <x14:cfvo type="num">
                <xm:f>-1</xm:f>
              </x14:cfvo>
              <x14:cfvo type="num">
                <xm:f>1</xm:f>
              </x14:cfvo>
              <x14:cfIcon iconSet="NoIcons" iconId="0"/>
              <x14:cfIcon iconSet="NoIcons" iconId="0"/>
              <x14:cfIcon iconSet="3Flags" iconId="0"/>
            </x14:iconSet>
          </x14:cfRule>
          <xm:sqref>B61:B66</xm:sqref>
        </x14:conditionalFormatting>
        <x14:conditionalFormatting xmlns:xm="http://schemas.microsoft.com/office/excel/2006/main">
          <x14:cfRule type="iconSet" priority="3" id="{D7651725-9574-4CC0-B1DE-C4A63CFD3961}">
            <x14:iconSet showValue="0" custom="1">
              <x14:cfvo type="percent">
                <xm:f>0</xm:f>
              </x14:cfvo>
              <x14:cfvo type="num">
                <xm:f>-1</xm:f>
              </x14:cfvo>
              <x14:cfvo type="num">
                <xm:f>1</xm:f>
              </x14:cfvo>
              <x14:cfIcon iconSet="NoIcons" iconId="0"/>
              <x14:cfIcon iconSet="NoIcons" iconId="0"/>
              <x14:cfIcon iconSet="3Flags" iconId="0"/>
            </x14:iconSet>
          </x14:cfRule>
          <xm:sqref>B70</xm:sqref>
        </x14:conditionalFormatting>
        <x14:conditionalFormatting xmlns:xm="http://schemas.microsoft.com/office/excel/2006/main">
          <x14:cfRule type="iconSet" priority="2" id="{4BC651DF-0376-40DF-B830-124DD9014851}">
            <x14:iconSet showValue="0" custom="1">
              <x14:cfvo type="percent">
                <xm:f>0</xm:f>
              </x14:cfvo>
              <x14:cfvo type="num">
                <xm:f>-1</xm:f>
              </x14:cfvo>
              <x14:cfvo type="num">
                <xm:f>1</xm:f>
              </x14:cfvo>
              <x14:cfIcon iconSet="NoIcons" iconId="0"/>
              <x14:cfIcon iconSet="NoIcons" iconId="0"/>
              <x14:cfIcon iconSet="3Flags" iconId="0"/>
            </x14:iconSet>
          </x14:cfRule>
          <xm:sqref>B71</xm:sqref>
        </x14:conditionalFormatting>
        <x14:conditionalFormatting xmlns:xm="http://schemas.microsoft.com/office/excel/2006/main">
          <x14:cfRule type="iconSet" priority="1" id="{72220B24-DAB7-4D42-9EF9-D493CBF1B140}">
            <x14:iconSet showValue="0" custom="1">
              <x14:cfvo type="percent">
                <xm:f>0</xm:f>
              </x14:cfvo>
              <x14:cfvo type="num">
                <xm:f>-1</xm:f>
              </x14:cfvo>
              <x14:cfvo type="num">
                <xm:f>1</xm:f>
              </x14:cfvo>
              <x14:cfIcon iconSet="NoIcons" iconId="0"/>
              <x14:cfIcon iconSet="NoIcons" iconId="0"/>
              <x14:cfIcon iconSet="3Flags" iconId="0"/>
            </x14:iconSet>
          </x14:cfRule>
          <xm:sqref>B72</xm:sqref>
        </x14:conditionalFormatting>
        <x14:conditionalFormatting xmlns:xm="http://schemas.microsoft.com/office/excel/2006/main">
          <x14:cfRule type="iconSet" priority="12" id="{8902035F-01F9-4539-98F5-C43CFA0D53F5}">
            <x14:iconSet showValue="0" custom="1">
              <x14:cfvo type="percent">
                <xm:f>0</xm:f>
              </x14:cfvo>
              <x14:cfvo type="num">
                <xm:f>-1</xm:f>
              </x14:cfvo>
              <x14:cfvo type="num">
                <xm:f>1</xm:f>
              </x14:cfvo>
              <x14:cfIcon iconSet="NoIcons" iconId="0"/>
              <x14:cfIcon iconSet="NoIcons" iconId="0"/>
              <x14:cfIcon iconSet="3Flags" iconId="0"/>
            </x14:iconSet>
          </x14:cfRule>
          <xm:sqref>B67 B69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COVID Risk Update</vt:lpstr>
      <vt:lpstr>S1 Cases Deaths by Age Group</vt:lpstr>
      <vt:lpstr>S2 CDC Total Case Trends</vt:lpstr>
      <vt:lpstr>S3 Cases Deaths Total</vt:lpstr>
      <vt:lpstr>S4 CDC Pandemic Planning</vt:lpstr>
      <vt:lpstr>S5 CDC COVID Death Resources</vt:lpstr>
      <vt:lpstr>S6 Chu</vt:lpstr>
      <vt:lpstr>S7 Conover Drunk Driving</vt:lpstr>
      <vt:lpstr>S8 Conover LLE and QALYs</vt:lpstr>
      <vt:lpstr>S9 Khalili </vt:lpstr>
      <vt:lpstr>S10 2020 Pop by Race-Sex-Age</vt:lpstr>
      <vt:lpstr>S11 Sanders CEA Recommend</vt:lpstr>
      <vt:lpstr>S12 Viscusi</vt:lpstr>
      <vt:lpstr>Mask Use 1.0 Old</vt:lpstr>
      <vt:lpstr>Mask Use 2.0 Old</vt:lpstr>
      <vt:lpstr>'S7 Conover Drunk Driving'!Print_Area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Conover</dc:creator>
  <cp:lastModifiedBy>Christopher Conover</cp:lastModifiedBy>
  <dcterms:created xsi:type="dcterms:W3CDTF">2020-07-14T16:44:47Z</dcterms:created>
  <dcterms:modified xsi:type="dcterms:W3CDTF">2020-07-31T18:11:27Z</dcterms:modified>
</cp:coreProperties>
</file>